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580" windowHeight="6810" tabRatio="954" activeTab="0"/>
  </bookViews>
  <sheets>
    <sheet name="Flujo" sheetId="1" r:id="rId1"/>
    <sheet name="Sub" sheetId="2" r:id="rId2"/>
    <sheet name="A.Sub " sheetId="3" r:id="rId3"/>
    <sheet name="Ing.Prop" sheetId="4" r:id="rId4"/>
    <sheet name="O.Ing.Prop" sheetId="5" r:id="rId5"/>
    <sheet name="O.Ing" sheetId="6" r:id="rId6"/>
    <sheet name="Proy.Esp" sheetId="7" r:id="rId7"/>
    <sheet name="Serv.Per" sheetId="8" r:id="rId8"/>
    <sheet name="Mat.Cons" sheetId="9" r:id="rId9"/>
    <sheet name="Serv.Grals" sheetId="10" r:id="rId10"/>
    <sheet name="Gto.Comp" sheetId="11" r:id="rId11"/>
    <sheet name="G.C.Op" sheetId="12" r:id="rId12"/>
    <sheet name="G.C.Viat" sheetId="13" r:id="rId13"/>
    <sheet name="G.C.Ing.Prop" sheetId="14" r:id="rId14"/>
    <sheet name="G.C.Donat" sheetId="15" r:id="rId15"/>
    <sheet name="G.C.Etiq" sheetId="16" r:id="rId16"/>
    <sheet name="NOV07" sheetId="17" r:id="rId17"/>
    <sheet name="DIC07" sheetId="18" r:id="rId18"/>
    <sheet name="ENE08" sheetId="19" r:id="rId19"/>
  </sheets>
  <definedNames>
    <definedName name="_xlnm.Print_Area" localSheetId="0">'Flujo'!$A$1:$H$56</definedName>
    <definedName name="_xlnm.Print_Area" localSheetId="11">'G.C.Op'!$A$1:$F$155</definedName>
    <definedName name="_xlnm.Print_Area" localSheetId="10">'Gto.Comp'!$A$1:$G$56</definedName>
    <definedName name="_xlnm.Print_Area" localSheetId="3">'Ing.Prop'!$A$1:$G$55</definedName>
    <definedName name="_xlnm.Print_Area" localSheetId="5">'O.Ing'!$A$1:$G$58</definedName>
    <definedName name="_xlnm.Print_Area" localSheetId="7">'Serv.Per'!$A$1:$G$134</definedName>
    <definedName name="_xlnm.Print_Titles" localSheetId="12">'G.C.Viat'!$1:$13</definedName>
  </definedNames>
  <calcPr fullCalcOnLoad="1"/>
</workbook>
</file>

<file path=xl/sharedStrings.xml><?xml version="1.0" encoding="utf-8"?>
<sst xmlns="http://schemas.openxmlformats.org/spreadsheetml/2006/main" count="1264" uniqueCount="590">
  <si>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</si>
  <si>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</si>
  <si>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</si>
  <si>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</si>
  <si>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</si>
  <si>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</si>
  <si>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</si>
  <si>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</si>
  <si>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</si>
  <si>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</si>
  <si>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</si>
  <si>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</si>
  <si>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</si>
  <si>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</si>
  <si>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</si>
  <si>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</si>
  <si>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</si>
  <si>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</si>
  <si>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</si>
  <si>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 xml:space="preserve">S   u   b   c   u   e   n   t   a    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</si>
  <si>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</si>
  <si>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</si>
  <si>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</si>
  <si>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</si>
  <si>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</si>
  <si>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</si>
  <si>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</si>
  <si>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</si>
  <si>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</si>
  <si>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</si>
  <si>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</si>
  <si>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</si>
  <si>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</si>
  <si>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</si>
  <si>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</si>
  <si>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</si>
  <si>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</si>
  <si>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</si>
  <si>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</si>
  <si>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</si>
  <si>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 xml:space="preserve">Varios </t>
  </si>
  <si>
    <t>Exámenes</t>
  </si>
  <si>
    <t xml:space="preserve">Carta de pasante en cuero </t>
  </si>
  <si>
    <t xml:space="preserve">Constancias </t>
  </si>
  <si>
    <t>Certificados</t>
  </si>
  <si>
    <t>Validación</t>
  </si>
  <si>
    <t>Expedición y reposición de credenciales</t>
  </si>
  <si>
    <t>Registro en libro de egresados</t>
  </si>
  <si>
    <t>Ingresos por clasificar</t>
  </si>
  <si>
    <t>Fideicomiso PROMEP 2001</t>
  </si>
  <si>
    <t>Intereses normales</t>
  </si>
  <si>
    <t>Total Ingresos Propios</t>
  </si>
  <si>
    <t>Cursos y diplomados</t>
  </si>
  <si>
    <t>Cuotas varias</t>
  </si>
  <si>
    <t>Cambios y bajas de escuela</t>
  </si>
  <si>
    <r>
      <t xml:space="preserve">Notas: </t>
    </r>
    <r>
      <rPr>
        <sz val="10"/>
        <rFont val="Arial"/>
        <family val="2"/>
      </rPr>
      <t xml:space="preserve">  </t>
    </r>
  </si>
  <si>
    <t>Donativos en custodia</t>
  </si>
  <si>
    <t>Proyectos especiales</t>
  </si>
  <si>
    <t>Diversos</t>
  </si>
  <si>
    <t>Nota:</t>
  </si>
  <si>
    <t>Sueldos</t>
  </si>
  <si>
    <t>Indemnizaciones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</si>
  <si>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</si>
  <si>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</si>
  <si>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</si>
  <si>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</si>
  <si>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</si>
  <si>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</si>
  <si>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</si>
  <si>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Iguala por cuotas sindicales</t>
  </si>
  <si>
    <t>Formación de personal</t>
  </si>
  <si>
    <t>FONACOT</t>
  </si>
  <si>
    <t>Combustibles, lubricantes y aditivos</t>
  </si>
  <si>
    <t>Energía eléctrica</t>
  </si>
  <si>
    <t>Agua potable</t>
  </si>
  <si>
    <t>Teléfono</t>
  </si>
  <si>
    <t>Arrendamiento de inmuebles</t>
  </si>
  <si>
    <t>Mant. de equipo de transporte</t>
  </si>
  <si>
    <t>Impresiones</t>
  </si>
  <si>
    <t>Viáticos operativo</t>
  </si>
  <si>
    <t>Honorarios profesionales</t>
  </si>
  <si>
    <t>Alimentación administración general</t>
  </si>
  <si>
    <t>Exoneraciones por prestaciones</t>
  </si>
  <si>
    <t>Apoyos económicos</t>
  </si>
  <si>
    <t>Partidas por comp. a cta. de ing. propios</t>
  </si>
  <si>
    <t>Rectoría</t>
  </si>
  <si>
    <t>Dirección de Servicios Escolares</t>
  </si>
  <si>
    <t>Contraloría General</t>
  </si>
  <si>
    <t>Contraloría Académica</t>
  </si>
  <si>
    <t>Dirección General de Deportes</t>
  </si>
  <si>
    <t>Dirección General de Bibliotecas</t>
  </si>
  <si>
    <t>Dirección de Radio UAS</t>
  </si>
  <si>
    <t>Departamento de Sueldos y Salarios</t>
  </si>
  <si>
    <t>Departamento de Contabilidad General</t>
  </si>
  <si>
    <t>Fundación UAS</t>
  </si>
  <si>
    <t>Escuela de Biología Culiacán</t>
  </si>
  <si>
    <t>Escuela de Psicología</t>
  </si>
  <si>
    <t>Facultad de Contaduría y Admón. Culiacán</t>
  </si>
  <si>
    <t>Facultad de Historia</t>
  </si>
  <si>
    <t>Escuela de Economía Culiacán</t>
  </si>
  <si>
    <t>Escuela de Arquitectura Culiacán</t>
  </si>
  <si>
    <t>Escuela de Informática Culiacán</t>
  </si>
  <si>
    <t>Torre Académica Culiacán</t>
  </si>
  <si>
    <t>Escuela de Ingeniería Mazatlán</t>
  </si>
  <si>
    <t>Coord. General de PROMEP</t>
  </si>
  <si>
    <t>Facultad de Agronomía</t>
  </si>
  <si>
    <t>Facultad de Ciencias del Mar</t>
  </si>
  <si>
    <t>Escuela Preparatoria Emiliano Zapata</t>
  </si>
  <si>
    <t>Escuela Preparatoria Navolato</t>
  </si>
  <si>
    <t>Coord. Universitaria del Hospital Civil</t>
  </si>
  <si>
    <t>Centro de Investigación y Serv. Educativos</t>
  </si>
  <si>
    <t>Escuela de Biología de Culiacán</t>
  </si>
  <si>
    <t>Escuela de Derecho y Ciencias Políticas</t>
  </si>
  <si>
    <t>Escuela de Turismo Mazatlán</t>
  </si>
  <si>
    <t>Escuela de Trabajo Social Mazatlán</t>
  </si>
  <si>
    <t>Escuela Preparatoria Carlos Marx</t>
  </si>
  <si>
    <t>Escuela Preparatoria Central Nocturna</t>
  </si>
  <si>
    <t>Escuela Preparatoria Sandino</t>
  </si>
  <si>
    <t>Escuela Preparatoria Vladimir I. Lennin</t>
  </si>
  <si>
    <t>Escuela Preparatoria Victoria del Pueblo</t>
  </si>
  <si>
    <t>Escuela Preparatoria Valle del Carrizo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</si>
  <si>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</si>
  <si>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</si>
  <si>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</si>
  <si>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</si>
  <si>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</si>
  <si>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</si>
  <si>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</si>
  <si>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</si>
  <si>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</si>
  <si>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</si>
  <si>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5300-15064-1</t>
  </si>
  <si>
    <t>Fideicomiso PROMEP-2001</t>
  </si>
  <si>
    <t>100337-0</t>
  </si>
  <si>
    <t>100354-0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</si>
  <si>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</si>
  <si>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</si>
  <si>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</si>
  <si>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</si>
  <si>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</si>
  <si>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</si>
  <si>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Fideicomiso Pensión y Jubilación</t>
  </si>
  <si>
    <t>Fideicomiso Fondo de Jubilación</t>
  </si>
  <si>
    <t>Atención y servicios de oficina</t>
  </si>
  <si>
    <t>Banorte</t>
  </si>
  <si>
    <t>100589-0</t>
  </si>
  <si>
    <t>Fideicomiso Pensiones y Jubilados UAS</t>
  </si>
  <si>
    <t>Departamento de Auditoría Interna</t>
  </si>
  <si>
    <t>Escuela Preparatoria La Cruz</t>
  </si>
  <si>
    <t>Escuela Preparatoria Escuinapa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</si>
  <si>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</si>
  <si>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</si>
  <si>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</si>
  <si>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</si>
  <si>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</si>
  <si>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</si>
  <si>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</si>
  <si>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</si>
  <si>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Partidas por comprobar viáticos</t>
  </si>
  <si>
    <t>Partidas por comprobar donativos</t>
  </si>
  <si>
    <t>Proyectos Especiales</t>
  </si>
  <si>
    <t>Escuela Preparatoria Heraclio Bernal</t>
  </si>
  <si>
    <t>Escuela de Contabilidad y Admón.Mazatlán</t>
  </si>
  <si>
    <t>Escuela Preparatoria Hnos. Flores Magon</t>
  </si>
  <si>
    <t>Escuela Preparatoria C.U.Mochis</t>
  </si>
  <si>
    <t>Escuela Preparatoria Juan José Rios</t>
  </si>
  <si>
    <t>Escuela Preparatoria Ruiz Cortinez</t>
  </si>
  <si>
    <t>Cuotas y suscripciones</t>
  </si>
  <si>
    <t>Departamento de Prestaciones Sociales</t>
  </si>
  <si>
    <t>Escuela de Ciencias de la Tierra</t>
  </si>
  <si>
    <t>Escuela Preparatoria Hermanos Flores Magón</t>
  </si>
  <si>
    <t>Seguro de vida</t>
  </si>
  <si>
    <t>Escuela de Filosofía y Letras Culiacán</t>
  </si>
  <si>
    <t>Coordinación General Zona Sur</t>
  </si>
  <si>
    <t>00154833093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</si>
  <si>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</si>
  <si>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</si>
  <si>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</si>
  <si>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</si>
  <si>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</si>
  <si>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</si>
  <si>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</si>
  <si>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</si>
  <si>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</si>
  <si>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Actividades Artísticas</t>
  </si>
  <si>
    <t>Dirección de Editorial</t>
  </si>
  <si>
    <t>Dirección de Servicios Estudiantiles</t>
  </si>
  <si>
    <t>Departamento de Personal</t>
  </si>
  <si>
    <t>Coordinación General Zona Norte</t>
  </si>
  <si>
    <t>Coordinación Operativa del SIIA</t>
  </si>
  <si>
    <t xml:space="preserve">Esc.de Estudios Internac.y Políticas Públicas </t>
  </si>
  <si>
    <t>Escuela Preparatoria Guasave Diurna</t>
  </si>
  <si>
    <t>Escuela Preparatoria Lázaro Cárdenas</t>
  </si>
  <si>
    <t>Escuela Preparatoria Mazatlán</t>
  </si>
  <si>
    <t>UAS Gasto Operativo</t>
  </si>
  <si>
    <t>UAS Fondo de Recuperación de Becas PROMEP</t>
  </si>
  <si>
    <t>Fondo de Garantía Para la Vivienda</t>
  </si>
  <si>
    <t>Fideicomiso para Fondo de Jubilación</t>
  </si>
  <si>
    <t>Coord. General de Investigación y Posgrado</t>
  </si>
  <si>
    <r>
      <t>1)</t>
    </r>
    <r>
      <rPr>
        <sz val="8"/>
        <rFont val="Arial"/>
        <family val="2"/>
      </rPr>
      <t xml:space="preserve"> Partidas pendientes de reclasificar a su  ingreso correspondiente. </t>
    </r>
  </si>
  <si>
    <t>Colegiaturas El Fuerte</t>
  </si>
  <si>
    <t>Inversión Creciente (Inversiones)</t>
  </si>
  <si>
    <t>U.A.S. Maestría E.U.A. y Canadá (Dlls.)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</si>
  <si>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</si>
  <si>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</si>
  <si>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</si>
  <si>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</si>
  <si>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</si>
  <si>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Total Ingresos por Subsidios</t>
  </si>
  <si>
    <t xml:space="preserve">Título en cuero </t>
  </si>
  <si>
    <t>Trámite de cédula profesional</t>
  </si>
  <si>
    <t>Intereses Ganados</t>
  </si>
  <si>
    <t>Estímulo al desempeño académico</t>
  </si>
  <si>
    <t>Prima de antigüedad por jubilación</t>
  </si>
  <si>
    <t>Secretaría General</t>
  </si>
  <si>
    <t>Coordinación General de Invest. y Posgrado</t>
  </si>
  <si>
    <t>Coord. de Doctorado en Ciencias Sociales</t>
  </si>
  <si>
    <t>Inversiones Disponibles</t>
  </si>
  <si>
    <t>Nombre  de  la  Cuenta</t>
  </si>
  <si>
    <t>Partidas por comprobar gasto operativo</t>
  </si>
  <si>
    <t>Partidas por comprobar gasto etiquetado</t>
  </si>
  <si>
    <t>Coord. General de Asesores de Rectoría</t>
  </si>
  <si>
    <t>Dirección General de Recursos Humanos</t>
  </si>
  <si>
    <t>Centro de Investigación y Servicios Educativos</t>
  </si>
  <si>
    <t>Coord. General de Planeación y Desarrollo</t>
  </si>
  <si>
    <t>Coord. General de Extensión Cultural y Servicios</t>
  </si>
  <si>
    <t>Dirección de Intercambio y Vinc. Académica</t>
  </si>
  <si>
    <t>Dirección de Comunicación Social</t>
  </si>
  <si>
    <t>Dirección de Control Bienes e Inventarios</t>
  </si>
  <si>
    <t>Dirección de Construcción y Mantenimiento</t>
  </si>
  <si>
    <t>Facultad de Ciencias Químico Biológicas</t>
  </si>
  <si>
    <t>Escuela Preparatoria Concordia</t>
  </si>
  <si>
    <t>Escuela de Ciencias Económicas y Admvas.</t>
  </si>
  <si>
    <t>Escuela de Derecho Mazatlán</t>
  </si>
  <si>
    <t>Coordinación Universitaria del Hospital Civil</t>
  </si>
  <si>
    <t>Santander Serfin</t>
  </si>
  <si>
    <t>BBVA Bancomer</t>
  </si>
  <si>
    <t>HSBC</t>
  </si>
  <si>
    <t>Banamex</t>
  </si>
  <si>
    <t>Scotiabank Inverlat</t>
  </si>
  <si>
    <t>Escuela Superior de Trabajo Social Culiacán</t>
  </si>
  <si>
    <t>UAS Control</t>
  </si>
  <si>
    <t>UAS Colegiatura Ingresos Propios</t>
  </si>
  <si>
    <t>Escuela de Ciencias Computacionales</t>
  </si>
  <si>
    <t>00176690748</t>
  </si>
  <si>
    <t>Departamento de Archivo General</t>
  </si>
  <si>
    <t>Escuela Preparatoria Genaro Vázquez Rojas</t>
  </si>
  <si>
    <t>Centro de Idiomas Culiacán</t>
  </si>
  <si>
    <t>Escuela de Enfermería Los Mochis</t>
  </si>
  <si>
    <t>Coordinación General Zona Centro Norte</t>
  </si>
  <si>
    <t>Coordinación Académica Zona Norte</t>
  </si>
  <si>
    <t>Escuela Preparatoria San Blas</t>
  </si>
  <si>
    <t>Coord. General de Acceso a la Información Pública</t>
  </si>
  <si>
    <t>Centro de Idiomas Navolato</t>
  </si>
  <si>
    <t>Escuela Preparatoria La Reforma</t>
  </si>
  <si>
    <t>Escuela de Derecho Guasave</t>
  </si>
  <si>
    <t>Facultad de Medicina Culiacán</t>
  </si>
  <si>
    <t>Fideicomiso PIFI 3.1</t>
  </si>
  <si>
    <t>Seguridad para resguardo de valores</t>
  </si>
  <si>
    <t>Representación de la UAS en México</t>
  </si>
  <si>
    <t>Retenciones por Pagar</t>
  </si>
  <si>
    <t>Reposición de cheques de caja cta. puente</t>
  </si>
  <si>
    <t xml:space="preserve"> Cuotas sindicato</t>
  </si>
  <si>
    <t>Fondo alternativo</t>
  </si>
  <si>
    <t>Fondo revolvente</t>
  </si>
  <si>
    <t>Reposición de Cheques de Caja cta. puente</t>
  </si>
  <si>
    <t>Trasp.bancarios por liquidez (Sueldos)</t>
  </si>
  <si>
    <t>Trasp.bancarios por liquidez (Prog.de ret.)</t>
  </si>
  <si>
    <t>Trasp.bancarios por liquidez (Carrera docente)</t>
  </si>
  <si>
    <t>00188381414</t>
  </si>
  <si>
    <t>UAS Inversiones</t>
  </si>
  <si>
    <t>UAS Ingresos Caja General</t>
  </si>
  <si>
    <t>Subtotal Ingresos Propios</t>
  </si>
  <si>
    <t>Total Intereses Generados</t>
  </si>
  <si>
    <t>Subtotal Servicios Personales</t>
  </si>
  <si>
    <t>Total Servicios Personales</t>
  </si>
  <si>
    <t>S u b t o t a l</t>
  </si>
  <si>
    <t>Caja General</t>
  </si>
  <si>
    <t>Dirección de Servicio Social Universitario</t>
  </si>
  <si>
    <t>Escuela Preparatoria Dr.Salvador Allende</t>
  </si>
  <si>
    <t>Coordinación General de PROMEP</t>
  </si>
  <si>
    <t>Facultad de Medicina de Culiacán</t>
  </si>
  <si>
    <t>Facultad de Medicina Veterinaria y Zootecnia</t>
  </si>
  <si>
    <t>Facultad de Odontología Culiacán</t>
  </si>
  <si>
    <t>Facultad de Derecho y Ciencias Soc. Culiacán</t>
  </si>
  <si>
    <t>Facultad de Ingeniería Culiacán</t>
  </si>
  <si>
    <t>Escuela de Ingeniería Los Mochis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</si>
  <si>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</si>
  <si>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</si>
  <si>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</si>
  <si>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</si>
  <si>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</si>
  <si>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Fideicomiso PIFIEMS 2004</t>
  </si>
  <si>
    <t>Escuela de Música</t>
  </si>
  <si>
    <t>Comisiones bancarias</t>
  </si>
  <si>
    <t>Estacionamientos</t>
  </si>
  <si>
    <t>Anticipo a cuenta de aguinaldo</t>
  </si>
  <si>
    <t xml:space="preserve"> Cuotas generales</t>
  </si>
  <si>
    <t>Embargo judicial</t>
  </si>
  <si>
    <t>Descuentos bancos</t>
  </si>
  <si>
    <t>Bonos (Material didáctico por documentar)</t>
  </si>
  <si>
    <t>Acreedores diversos</t>
  </si>
  <si>
    <t>Impuestos por Pagar</t>
  </si>
  <si>
    <t>00188381384</t>
  </si>
  <si>
    <t>Proyectos Diversos</t>
  </si>
  <si>
    <t>2000677-001</t>
  </si>
  <si>
    <t>PIFIEMS 2004</t>
  </si>
  <si>
    <t>Consultas médicas</t>
  </si>
  <si>
    <t>Entrega de donativos en custodia efectivo</t>
  </si>
  <si>
    <t>Antigüedad</t>
  </si>
  <si>
    <t>ISR</t>
  </si>
  <si>
    <t>ISR ret. 10%</t>
  </si>
  <si>
    <t>IVA ret. 10%</t>
  </si>
  <si>
    <t xml:space="preserve">Cuentas de Cheques     </t>
  </si>
  <si>
    <t>4)</t>
  </si>
  <si>
    <t>5)</t>
  </si>
  <si>
    <t>6)</t>
  </si>
  <si>
    <t>65501752447</t>
  </si>
  <si>
    <t>DE ANEXO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</si>
  <si>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</si>
  <si>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</si>
  <si>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</si>
  <si>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</si>
  <si>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</si>
  <si>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</si>
  <si>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</si>
  <si>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</si>
  <si>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</si>
  <si>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</si>
  <si>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 </t>
  </si>
  <si>
    <t>CUENTAS POR COBRAR</t>
  </si>
  <si>
    <t>CUENTAS POR PAGAR</t>
  </si>
  <si>
    <t>Subtotal</t>
  </si>
  <si>
    <t>ADQUISICIONES Y OTROS</t>
  </si>
  <si>
    <t>Traspasos bancarios</t>
  </si>
  <si>
    <t>Subtotal cuentas por cobrar y adquisiciones</t>
  </si>
  <si>
    <t>Subtotal cuentas por pagar</t>
  </si>
  <si>
    <t>Subtotal por traspasos bancarios</t>
  </si>
  <si>
    <t>Subtotal cuentas por cobrar</t>
  </si>
  <si>
    <t>Terrenos</t>
  </si>
  <si>
    <t>Bienes Inmuebles</t>
  </si>
  <si>
    <t>Alimentación (casas asistenciales)</t>
  </si>
  <si>
    <t>Devolución de ingresos institucionales</t>
  </si>
  <si>
    <t>Dirección de Control de Bienes e Inventarios</t>
  </si>
  <si>
    <t>Centro de Computo Universitario</t>
  </si>
  <si>
    <t>Escuela Preparatoria Central Diurna</t>
  </si>
  <si>
    <t>UAS Colegiaturas La Cruz</t>
  </si>
  <si>
    <t>Fideicomiso FAM 2005</t>
  </si>
  <si>
    <t>UAS-Control 2005</t>
  </si>
  <si>
    <t>2000789-001</t>
  </si>
  <si>
    <t>Torre Académica Mazatlán</t>
  </si>
  <si>
    <t>Exoneraciones por apoyos</t>
  </si>
  <si>
    <t>Escuela Preparatoria Choix</t>
  </si>
  <si>
    <t>Comisiones Mixtas</t>
  </si>
  <si>
    <t>Coord. General Zona Centro B</t>
  </si>
  <si>
    <t>Centro de Cómputo Universitario</t>
  </si>
  <si>
    <t>Coordinación General Zona Centro Norte Guasave</t>
  </si>
  <si>
    <t>Coordinación Académica Zona Sur</t>
  </si>
  <si>
    <t>Fideicomiso Fondo de Equidad 2005</t>
  </si>
  <si>
    <t>Fideicomiso PIFI 3.2</t>
  </si>
  <si>
    <t>Fideicomiso PIFI  3.2</t>
  </si>
  <si>
    <t>2000923-000</t>
  </si>
  <si>
    <t>2000924-000</t>
  </si>
  <si>
    <t>Publicaciones</t>
  </si>
  <si>
    <t>UAS-Fondo de Equidad 2005</t>
  </si>
  <si>
    <r>
      <t xml:space="preserve">1.- </t>
    </r>
    <r>
      <rPr>
        <sz val="8"/>
        <rFont val="Arial"/>
        <family val="2"/>
      </rPr>
      <t>Cuentas bancarias de la administración anterior canceladas, que siguen apareciendo con saldo  en libros.</t>
    </r>
  </si>
  <si>
    <r>
      <t xml:space="preserve">2.- </t>
    </r>
    <r>
      <rPr>
        <sz val="8"/>
        <rFont val="Arial"/>
        <family val="2"/>
      </rPr>
      <t>Cuentas bancarias de la administración anterior bloqueadas por el INFONAVIT.</t>
    </r>
  </si>
  <si>
    <t>Escuela Preparatoria Guamúchil</t>
  </si>
  <si>
    <t>Escuela de Idiomas Guamúchil</t>
  </si>
  <si>
    <t>Instituto de Investigaciones Económico y Sociales</t>
  </si>
  <si>
    <t>Jardín de Niños</t>
  </si>
  <si>
    <t>UNIVERSIDAD AUTÓNOMA DE SINALOA</t>
  </si>
  <si>
    <t>UAS-Ingresos Especiales</t>
  </si>
  <si>
    <t xml:space="preserve">Escuela Prep.8 de Julio </t>
  </si>
  <si>
    <t>Escuela Preparatoria Guasave Nocturna</t>
  </si>
  <si>
    <t>Escuela Preparatoria Semiescolarizada</t>
  </si>
  <si>
    <t>Difusión</t>
  </si>
  <si>
    <t>Anticipo a estímulo carrera docente</t>
  </si>
  <si>
    <t>Apoyo cartera asuntos académicos sindical</t>
  </si>
  <si>
    <t>Apoyo cartera educación sindical</t>
  </si>
  <si>
    <t>Libros, revistas y folletos</t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</si>
  <si>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   de efectivo.</t>
    </r>
  </si>
  <si>
    <t>Depto. de Control de Becas al Desempeño Acad.</t>
  </si>
  <si>
    <t>Escuela Superior de Agricultura del Valle del Fte.</t>
  </si>
  <si>
    <t>Escuela de Admón. Agropecuaria y Desarrollo R.</t>
  </si>
  <si>
    <t>00174966056</t>
  </si>
  <si>
    <t>Liquidación por renuncia voluntaria</t>
  </si>
  <si>
    <t>Cuota alberca olímpica</t>
  </si>
  <si>
    <t>Fideicomiso FAM 2006</t>
  </si>
  <si>
    <t>2001073-001</t>
  </si>
  <si>
    <t>Ayuda para educación</t>
  </si>
  <si>
    <t>Seguro de vida colectivo administrativos</t>
  </si>
  <si>
    <t>MAS:</t>
  </si>
  <si>
    <t>INGRESOS DEL PERIODO:</t>
  </si>
  <si>
    <t>MENOS:</t>
  </si>
  <si>
    <t>EGRESOS DEL PERIODO:</t>
  </si>
  <si>
    <t>$</t>
  </si>
  <si>
    <t>ESTADO DE FLUJO DE EFECTIVO POR EL PERIODO</t>
  </si>
  <si>
    <r>
      <t>1)</t>
    </r>
    <r>
      <rPr>
        <sz val="10"/>
        <rFont val="Arial"/>
        <family val="0"/>
      </rPr>
      <t xml:space="preserve"> Este anexo se analiza detalladamente en los anexos </t>
    </r>
    <r>
      <rPr>
        <b/>
        <sz val="10"/>
        <rFont val="Arial"/>
        <family val="2"/>
      </rPr>
      <t>VIII-1</t>
    </r>
    <r>
      <rPr>
        <sz val="10"/>
        <rFont val="Arial"/>
        <family val="0"/>
      </rPr>
      <t xml:space="preserve"> al </t>
    </r>
    <r>
      <rPr>
        <b/>
        <sz val="10"/>
        <rFont val="Arial"/>
        <family val="2"/>
      </rPr>
      <t>VIII-5</t>
    </r>
  </si>
  <si>
    <t>Facultad de Derecho y Ciencias Soc. Cln.</t>
  </si>
  <si>
    <t>Escuela de Superior de Educ.Física Cln.</t>
  </si>
  <si>
    <t>Escuela de Estudios Intern.y Políticas Púb.</t>
  </si>
  <si>
    <t>Escuela de Admón. Agrop.y Desarrollo</t>
  </si>
  <si>
    <t>UNIVERSIDAD AUTONOMA DE SINALOA</t>
  </si>
  <si>
    <t>RELACION DE INGRESOS POR SUBSIDIOS</t>
  </si>
  <si>
    <t>ANALISIS DE INGRESOS POR SUBSIDIOS</t>
  </si>
  <si>
    <t>RELACION DE INGRESOS PROPIOS</t>
  </si>
  <si>
    <t>RELACION DE OTROS TIPOS DE INGRESOS PROPIOS</t>
  </si>
  <si>
    <t>RELACION DE OTROS INGRESOS</t>
  </si>
  <si>
    <t>ANALISIS DE INGRESOS POR PROYECTOS ESPECIALES</t>
  </si>
  <si>
    <t>RELACION DE PAGOS POR SERVICIOS PERSONALES</t>
  </si>
  <si>
    <t>RELACION DE PAGOS POR MATERIALES DE CONSUMO</t>
  </si>
  <si>
    <t>RELACION DE PAGOS POR SERVICIOS GENERALES</t>
  </si>
  <si>
    <t>RELACION DE PARTIDAS POR COMPROBAR GASTO OPERATIVO</t>
  </si>
  <si>
    <t>RELACION DE PARTIDAS POR COMPROBAR VIATICOS</t>
  </si>
  <si>
    <t>RELACION DE PARTIDAS POR COMPROBAR A CUENTA DE INGRESOS PROPIOS</t>
  </si>
  <si>
    <t>RELACION DE PARTIDAS  POR COMPROBAR A CUENTA DE INGRESOS PROPIOS</t>
  </si>
  <si>
    <t>RELACION DE PARTIDAS POR COMPROBAR DONATIVOS</t>
  </si>
  <si>
    <t>RELACION DE PARTIDAS POR COMPROBAR GASTO ETIQUETADO</t>
  </si>
  <si>
    <t>Escuela de Artes Plásticas</t>
  </si>
  <si>
    <t>Faltas académicas</t>
  </si>
  <si>
    <t>Becas a estudiantes</t>
  </si>
  <si>
    <t>Secretaría Administrativa de Rectoría</t>
  </si>
  <si>
    <t>Secretaría Académica de Rectoría</t>
  </si>
  <si>
    <t>Dirección de Promoción Financiera</t>
  </si>
  <si>
    <t>Servicios varios</t>
  </si>
  <si>
    <t>Específico</t>
  </si>
  <si>
    <t>Evento cultural</t>
  </si>
  <si>
    <t>Renta de otros espacios</t>
  </si>
  <si>
    <t>Anticipo a descuentos retenidos</t>
  </si>
  <si>
    <t>Subsidio Federal Específico</t>
  </si>
  <si>
    <t>1/3</t>
  </si>
  <si>
    <t>2/3</t>
  </si>
  <si>
    <t>3/3</t>
  </si>
  <si>
    <t>1/1</t>
  </si>
  <si>
    <t>1/2</t>
  </si>
  <si>
    <t>2/2</t>
  </si>
  <si>
    <t>Casa de la cultura CEUDIC</t>
  </si>
  <si>
    <t>U nidad Académica de Negocios</t>
  </si>
  <si>
    <t>Fideicomiso PIFI 3.3</t>
  </si>
  <si>
    <t>Recargos y multas</t>
  </si>
  <si>
    <t>Actualizaciones</t>
  </si>
  <si>
    <t>Desistimiento de embargo</t>
  </si>
  <si>
    <t>Infonavit</t>
  </si>
  <si>
    <t>Retiro</t>
  </si>
  <si>
    <t>Cesantia y vejez</t>
  </si>
  <si>
    <t>IMSS patronal</t>
  </si>
  <si>
    <t>Seguro de vida académicos</t>
  </si>
  <si>
    <t>Dirección del Sistema de Gestión de la Calidad</t>
  </si>
  <si>
    <t>Depto.de Servicios Asistenciales Estudiantiles Gve.</t>
  </si>
  <si>
    <t>Ayuda para transporte</t>
  </si>
  <si>
    <t>Mobiliario y Equipo</t>
  </si>
  <si>
    <t>Coordinación Administrativa Zona Norte</t>
  </si>
  <si>
    <t>Departamento de Legalización</t>
  </si>
  <si>
    <t>Evento social</t>
  </si>
  <si>
    <t>Facultad de Informática Mazatlán</t>
  </si>
  <si>
    <t>Asesorías, estudios e investigaciones</t>
  </si>
  <si>
    <r>
      <t>1)</t>
    </r>
    <r>
      <rPr>
        <sz val="8"/>
        <rFont val="Arial"/>
        <family val="2"/>
      </rPr>
      <t xml:space="preserve"> Se analiza detalladamente en el anexo </t>
    </r>
    <r>
      <rPr>
        <b/>
        <sz val="8"/>
        <rFont val="Arial"/>
        <family val="2"/>
      </rPr>
      <t>IV-1</t>
    </r>
  </si>
  <si>
    <t>Depto. de Difusión Cultural y Extención Zona Sur</t>
  </si>
  <si>
    <t>Escuela de Trabajo Social Los Mochis</t>
  </si>
  <si>
    <t>Departamento de Deportes Zona Sur</t>
  </si>
  <si>
    <t>Prima vacacional</t>
  </si>
  <si>
    <t>Materiales de oficina</t>
  </si>
  <si>
    <t>Mant. de edif., jardinerías y u. deportivas</t>
  </si>
  <si>
    <t>Comisión Nacional de Acuacultura y Pesca</t>
  </si>
  <si>
    <t>Secretaría de Administración y Finanzas</t>
  </si>
  <si>
    <t>Escuela Preparatoria Guamuchil</t>
  </si>
  <si>
    <t>Escuela de Ciencias Fisico Matemáticas</t>
  </si>
  <si>
    <t>Evento académico</t>
  </si>
  <si>
    <t>Aguinaldo</t>
  </si>
  <si>
    <t>100957-1</t>
  </si>
  <si>
    <t>Fideicomiso Reserva. P/Problemas Estructurales</t>
  </si>
  <si>
    <t>SUNTUAS Administrativo</t>
  </si>
  <si>
    <t>Departamento de Servicios Escolares Zona Norte</t>
  </si>
  <si>
    <t>Escuela de Enfermería Culiacán</t>
  </si>
  <si>
    <t>Escuela Preparatoria 02 de Octubre</t>
  </si>
  <si>
    <t>Gobierno del Estado de Sinaloa (FOFAE)</t>
  </si>
  <si>
    <t>H. Congreso del Estado de Sinaloa</t>
  </si>
  <si>
    <t>SEMARNAT CONAGUA</t>
  </si>
  <si>
    <t>Instituto Nacional de Desarrollo Social</t>
  </si>
  <si>
    <t>Material didáctico (Libros, revistas y otros)</t>
  </si>
  <si>
    <t>Donativos</t>
  </si>
  <si>
    <r>
      <t xml:space="preserve">1).- </t>
    </r>
    <r>
      <rPr>
        <sz val="8"/>
        <rFont val="Arial"/>
        <family val="2"/>
      </rPr>
      <t>Evaluación externa del Programa de Fomento Agrícola de la Alianza para el Campo 2006.</t>
    </r>
  </si>
  <si>
    <t xml:space="preserve">       integrado por las sindicaturas de Eldorado, E. Zapata y Baila del municipio de Culiacán.</t>
  </si>
  <si>
    <t>7)</t>
  </si>
  <si>
    <t xml:space="preserve">       solución de sus necesidades y promoción de sus derechos.</t>
  </si>
  <si>
    <t xml:space="preserve">       dragado en el sistema Huizache-Caimanero, Municipios Mazatlan y El Rosario Sinaloa.</t>
  </si>
  <si>
    <t>Noviembre</t>
  </si>
  <si>
    <t>Diciembre</t>
  </si>
  <si>
    <t>Enero</t>
  </si>
  <si>
    <t>DEL 01 DE NOVIEMBRE DE 2007 AL 31 DE ENERO DE 2008</t>
  </si>
  <si>
    <t>SALDO EN BANCOS E INVERSIONES AL 30 DE NOVIEMBRE DE 2007</t>
  </si>
  <si>
    <t>Noviembre 2007</t>
  </si>
  <si>
    <t>11 de Diciembre</t>
  </si>
  <si>
    <t>Diciembre 2007</t>
  </si>
  <si>
    <t>14 de Enero</t>
  </si>
  <si>
    <t>Enero 2008</t>
  </si>
  <si>
    <t>COMPRENDIDO DEL 01 DE NOVIEMBRE DE 2007 AL 31 DE ENERO  DE 2008</t>
  </si>
  <si>
    <t>SUNTUAS Académico</t>
  </si>
  <si>
    <t>Articulos y materiales de imprenta</t>
  </si>
  <si>
    <t>Equipo de transporte (camioneta)</t>
  </si>
  <si>
    <t>Uniformes y accesorios</t>
  </si>
  <si>
    <t>Subsidio Estatal Extraordinario</t>
  </si>
  <si>
    <t>05 de Noviembre</t>
  </si>
  <si>
    <t>07 de Noviembre</t>
  </si>
  <si>
    <t>29 de Noviembre</t>
  </si>
  <si>
    <t>15 de Noviembre</t>
  </si>
  <si>
    <t>27 de Noviembre</t>
  </si>
  <si>
    <t>20 de Noviembre</t>
  </si>
  <si>
    <t>Extraordinario</t>
  </si>
  <si>
    <t>Análisis y diagnostico de laboratorio</t>
  </si>
  <si>
    <t>Donaciones</t>
  </si>
  <si>
    <t>Fideicomiso Minera Cosala</t>
  </si>
  <si>
    <t>Banco del Bajio</t>
  </si>
  <si>
    <t>Inversiones UAS Minera de Cosala</t>
  </si>
  <si>
    <t>6150-01-85</t>
  </si>
  <si>
    <r>
      <t>4.-</t>
    </r>
    <r>
      <rPr>
        <sz val="8"/>
        <rFont val="Arial"/>
        <family val="2"/>
      </rPr>
      <t xml:space="preserve"> Equivale a $ 1,447.58 dlls. al tipo de cambio de $ 10.90 pesos.</t>
    </r>
  </si>
  <si>
    <r>
      <t>5.</t>
    </r>
    <r>
      <rPr>
        <sz val="8"/>
        <rFont val="Arial"/>
        <family val="2"/>
      </rPr>
      <t xml:space="preserve">- Equivale a $ 68,500.75 dlls. al tipo de cambio de $ 10.90 pesos.  </t>
    </r>
  </si>
  <si>
    <r>
      <t>6.</t>
    </r>
    <r>
      <rPr>
        <sz val="8"/>
        <rFont val="Arial"/>
        <family val="2"/>
      </rPr>
      <t xml:space="preserve">- Equivale a $ 28,583.00 dlls. al tipo de cambio de $ 10.90 pesos.  </t>
    </r>
  </si>
  <si>
    <t xml:space="preserve">      entregan en fechas posteriores para su cobro.</t>
  </si>
  <si>
    <r>
      <t xml:space="preserve">3.- </t>
    </r>
    <r>
      <rPr>
        <sz val="8"/>
        <rFont val="Arial"/>
        <family val="2"/>
      </rPr>
      <t xml:space="preserve">Se refleja saldo negativo por elaboración de cheques el día 30 de Noviembre, se encuentran en transito  y se </t>
    </r>
  </si>
  <si>
    <t>Consejo para el Desarrollo Económico de Sinaloa</t>
  </si>
  <si>
    <t>Instituto Mexicano de Tecnología del Agua</t>
  </si>
  <si>
    <t>Gobierno del Estado de Sinaloa (SAG Y P)</t>
  </si>
  <si>
    <t>Municipio de San Ignacio</t>
  </si>
  <si>
    <t>Secretaría de Medio Ambiente y Recursos Nat.</t>
  </si>
  <si>
    <t>SALDO EN BANCOS E INVERSIONES AL 31 DE DICIEMBRE DE 2007</t>
  </si>
  <si>
    <r>
      <t xml:space="preserve">3.- </t>
    </r>
    <r>
      <rPr>
        <sz val="8"/>
        <rFont val="Arial"/>
        <family val="2"/>
      </rPr>
      <t xml:space="preserve">Se refleja saldo negativo por elaboración de cheques el día 31 de Diciembre, se encuentran en transito  y se </t>
    </r>
  </si>
  <si>
    <t>Fideicomiso FAM 2007</t>
  </si>
  <si>
    <t>2001073-002</t>
  </si>
  <si>
    <t>Subsidio Federal Extraordinario</t>
  </si>
  <si>
    <t>07 de Diciembre</t>
  </si>
  <si>
    <t>13 de Diciembre</t>
  </si>
  <si>
    <t>Simposium, Seminarios y Conferencias</t>
  </si>
  <si>
    <t>Incapacidades</t>
  </si>
  <si>
    <t>Tribunal Universitario</t>
  </si>
  <si>
    <t>Unidad Técnica de Investigación</t>
  </si>
  <si>
    <t>Lic. en Nutrición</t>
  </si>
  <si>
    <t>Escuela de Contabilidad y Administración Mazatlán</t>
  </si>
  <si>
    <t>Escuela Superior de Enfermería Mazatlán</t>
  </si>
  <si>
    <t>Trasp.bancarios por liquidez (Aguinaldos)</t>
  </si>
  <si>
    <t>Gastos de representación</t>
  </si>
  <si>
    <t>17 de Diciembre</t>
  </si>
  <si>
    <r>
      <t xml:space="preserve">3).- </t>
    </r>
    <r>
      <rPr>
        <sz val="8"/>
        <rFont val="Arial"/>
        <family val="2"/>
      </rPr>
      <t xml:space="preserve">Primera ministración del proyecto "Act. del est. de viabilidad Socio-económica para la creación del municipio diecinueve </t>
    </r>
  </si>
  <si>
    <r>
      <t xml:space="preserve">4).- </t>
    </r>
    <r>
      <rPr>
        <sz val="8"/>
        <rFont val="Arial"/>
        <family val="2"/>
      </rPr>
      <t>Proyecto "Evaluación biológico pesquera del callo de hacha astrina sp. En la costa de Teacapán, Sinaloa México.</t>
    </r>
  </si>
  <si>
    <t>8)</t>
  </si>
  <si>
    <r>
      <t xml:space="preserve">2).- </t>
    </r>
    <r>
      <rPr>
        <sz val="8"/>
        <rFont val="Arial"/>
        <family val="2"/>
      </rPr>
      <t>Tercera ministración proyecto "Planes de manejo de embalses de las presas Josefa Ortíz de Domínguez y Adolfo López Mateos.</t>
    </r>
  </si>
  <si>
    <r>
      <t xml:space="preserve">5).- </t>
    </r>
    <r>
      <rPr>
        <sz val="8"/>
        <rFont val="Arial"/>
        <family val="2"/>
      </rPr>
      <t xml:space="preserve">Proyecto "Red geodésica estatal y municipal con la colaboración de SEMARNAT y los municipios costeros del estado. </t>
    </r>
  </si>
  <si>
    <r>
      <t>6).-</t>
    </r>
    <r>
      <rPr>
        <sz val="8"/>
        <rFont val="Arial"/>
        <family val="2"/>
      </rPr>
      <t xml:space="preserve"> Convenio IMTA/RD/UAS/ESA/0708 "Aplicación de BENCHMARKING para la evaluación del desempeño de modulos de riego.</t>
    </r>
  </si>
  <si>
    <t xml:space="preserve">       Convenio IMTA/UAS/RD-0724-3 "Servicios de asesoría técnica,organización y plan director de unidades de riego en los Estados </t>
  </si>
  <si>
    <t xml:space="preserve">       de Nuevo León y Veracruz.</t>
  </si>
  <si>
    <r>
      <t>7).-</t>
    </r>
    <r>
      <rPr>
        <sz val="8"/>
        <rFont val="Arial"/>
        <family val="2"/>
      </rPr>
      <t xml:space="preserve"> Encuentro estatal de bosques y selvas "Investigación, conservación y productividad.</t>
    </r>
  </si>
  <si>
    <t xml:space="preserve">       </t>
  </si>
  <si>
    <t xml:space="preserve">       Apoyo corresp.20% para Proyecto "Diagnostico e inventario de maleza acuática en el area de influencia del distrito de riego 074.  </t>
  </si>
  <si>
    <r>
      <t>8).-</t>
    </r>
    <r>
      <rPr>
        <sz val="8"/>
        <rFont val="Arial"/>
        <family val="2"/>
      </rPr>
      <t xml:space="preserve"> Apoyo corresp.20% para Proyecto "Control biológico de maleza acuática en las presas, derivadoras y rios del area </t>
    </r>
  </si>
  <si>
    <t xml:space="preserve">       de influencia del distrito de riego 010.  </t>
  </si>
  <si>
    <t>9)</t>
  </si>
  <si>
    <t>10)</t>
  </si>
  <si>
    <r>
      <t>9).-</t>
    </r>
    <r>
      <rPr>
        <sz val="8"/>
        <rFont val="Arial"/>
        <family val="2"/>
      </rPr>
      <t xml:space="preserve"> Aportación para el Proyecto "Formación de una red de grupos de personas con discapacidad para la cogestión de la </t>
    </r>
  </si>
  <si>
    <r>
      <t xml:space="preserve">10).- </t>
    </r>
    <r>
      <rPr>
        <sz val="8"/>
        <rFont val="Arial"/>
        <family val="2"/>
      </rPr>
      <t xml:space="preserve">Segunda y tercera ministración del proyecto "Recuperación de las zonas de tiro impactadas como consecuencia de las obras de </t>
    </r>
  </si>
  <si>
    <r>
      <t>6.</t>
    </r>
    <r>
      <rPr>
        <sz val="8"/>
        <rFont val="Arial"/>
        <family val="2"/>
      </rPr>
      <t xml:space="preserve">- Equivale a $ 28,593.02 dlls. al tipo de cambio de $ 10.91 pesos.  </t>
    </r>
  </si>
  <si>
    <r>
      <t>5.</t>
    </r>
    <r>
      <rPr>
        <sz val="8"/>
        <rFont val="Arial"/>
        <family val="2"/>
      </rPr>
      <t xml:space="preserve">- Equivale a $ 68,530.66 dlls. al tipo de cambio de $ 10.91 pesos.  </t>
    </r>
  </si>
  <si>
    <r>
      <t>4.-</t>
    </r>
    <r>
      <rPr>
        <sz val="8"/>
        <rFont val="Arial"/>
        <family val="2"/>
      </rPr>
      <t xml:space="preserve"> Equivale a $ 1,448.70 dlls. al tipo de cambio de $ 10.91 pesos.</t>
    </r>
  </si>
  <si>
    <t>Subsidio Estatal Específico</t>
  </si>
  <si>
    <t>09 de Enero</t>
  </si>
  <si>
    <t>17 de Enero</t>
  </si>
  <si>
    <t>23 de Enero</t>
  </si>
  <si>
    <t>SALDO EN BANCOS E INVERSIONES AL 31 DE ENERO DE 2008</t>
  </si>
  <si>
    <t>2001336-001</t>
  </si>
  <si>
    <r>
      <t xml:space="preserve">3.- </t>
    </r>
    <r>
      <rPr>
        <sz val="8"/>
        <rFont val="Arial"/>
        <family val="2"/>
      </rPr>
      <t xml:space="preserve">Se refleja saldo negativo por elaboración de cheques el día 31 de Enero, se encuentran en transito  y se </t>
    </r>
  </si>
  <si>
    <r>
      <t>4.-</t>
    </r>
    <r>
      <rPr>
        <sz val="8"/>
        <rFont val="Arial"/>
        <family val="2"/>
      </rPr>
      <t xml:space="preserve"> Equivale a $ 1,444.95 dlls. al tipo de cambio de $ 10.83 pesos.</t>
    </r>
  </si>
  <si>
    <r>
      <t>5.</t>
    </r>
    <r>
      <rPr>
        <sz val="8"/>
        <rFont val="Arial"/>
        <family val="2"/>
      </rPr>
      <t xml:space="preserve">- Equivale a $ 68,532.84dlls. al tipo de cambio de $ 10.83 pesos.  </t>
    </r>
  </si>
  <si>
    <r>
      <t>6.</t>
    </r>
    <r>
      <rPr>
        <sz val="8"/>
        <rFont val="Arial"/>
        <family val="2"/>
      </rPr>
      <t xml:space="preserve">- Equivale a $ 28,589.51 dlls. al tipo de cambio de $ 10.83 pesos.  </t>
    </r>
  </si>
  <si>
    <t>Abanicos, extractores, acondicionadores de aire</t>
  </si>
  <si>
    <t>Prestamos al Sindicato</t>
  </si>
  <si>
    <t>SUNTUAS Administrativos</t>
  </si>
  <si>
    <t>Obligaciones por pagar</t>
  </si>
  <si>
    <t>5% sobre aportación conseguida</t>
  </si>
  <si>
    <t>Contraloría Estudiantil</t>
  </si>
  <si>
    <t>Departamento de Bibliotecas Mazatlan</t>
  </si>
  <si>
    <t>Facultad de Psicología</t>
  </si>
  <si>
    <t>11)</t>
  </si>
  <si>
    <t>Minera Cosala S. A. de C. V.</t>
  </si>
  <si>
    <r>
      <t xml:space="preserve">11).- </t>
    </r>
    <r>
      <rPr>
        <sz val="8"/>
        <rFont val="Arial"/>
        <family val="2"/>
      </rPr>
      <t xml:space="preserve">Pago de indemnización por afectación minera de144-71-82 has. Terreno p´ropiedad de la UAS para ocupación temporal para </t>
    </r>
  </si>
  <si>
    <t xml:space="preserve">         servidumbre de paso de la Minera Cosala.</t>
  </si>
  <si>
    <t>SECRETARIA DE ADMINISTRACION Y FINANZAS</t>
  </si>
  <si>
    <t>RELACION DE PARTIDAS POR COMPROBAR</t>
  </si>
  <si>
    <t>NOTA:</t>
  </si>
  <si>
    <t>1) El saldo de gastos por comprobar al 31 de enero de</t>
  </si>
  <si>
    <r>
      <t xml:space="preserve">2008, asciende a la cantidad de </t>
    </r>
    <r>
      <rPr>
        <b/>
        <sz val="10"/>
        <rFont val="Arial"/>
        <family val="2"/>
      </rPr>
      <t>$ 96´353, 955. 53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</si>
</sst>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80A]dddd\,\ dd&quot; de &quot;mmmm&quot; de &quot;yyyy"/>
    <numFmt numFmtId="184" formatCode="[$-80A]hh:mm:ss\ AM/PM"/>
    <numFmt numFmtId="185" formatCode="#\ ###\ ##0.00;\(#\ ###\ ##0.00\)"/>
    <numFmt numFmtId="186" formatCode="&quot;$&quot;\ #\ ###\ ##0.00;\(#\ ###\ ##0.00\)"/>
    <numFmt numFmtId="187" formatCode="0.000000000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171" fontId="6" fillId="0" borderId="0" xfId="15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20" applyNumberFormat="1" applyFont="1" applyFill="1" applyBorder="1" applyAlignment="1">
      <alignment/>
    </xf>
    <xf numFmtId="172" fontId="5" fillId="0" borderId="0" xfId="21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21" applyNumberFormat="1" applyFont="1" applyFill="1" applyBorder="1" applyAlignment="1">
      <alignment/>
    </xf>
    <xf numFmtId="4" fontId="5" fillId="0" borderId="0" xfId="21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4" fontId="6" fillId="0" borderId="0" xfId="19" applyNumberFormat="1" applyFont="1" applyFill="1" applyAlignment="1">
      <alignment/>
    </xf>
    <xf numFmtId="4" fontId="6" fillId="0" borderId="0" xfId="15" applyNumberFormat="1" applyFont="1" applyFill="1" applyBorder="1" applyAlignment="1">
      <alignment/>
    </xf>
    <xf numFmtId="4" fontId="5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5" fillId="0" borderId="0" xfId="19" applyNumberFormat="1" applyFont="1" applyFill="1" applyBorder="1" applyAlignment="1">
      <alignment/>
    </xf>
    <xf numFmtId="2" fontId="6" fillId="0" borderId="0" xfId="23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0" fontId="1" fillId="0" borderId="0" xfId="17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0" fillId="0" borderId="0" xfId="22" applyNumberFormat="1" applyFont="1" applyFill="1" applyBorder="1" applyAlignment="1">
      <alignment/>
    </xf>
    <xf numFmtId="43" fontId="1" fillId="0" borderId="0" xfId="22" applyNumberFormat="1" applyFont="1" applyFill="1" applyBorder="1" applyAlignment="1">
      <alignment/>
    </xf>
    <xf numFmtId="43" fontId="0" fillId="0" borderId="0" xfId="22" applyNumberFormat="1" applyFont="1" applyFill="1" applyBorder="1" applyAlignment="1">
      <alignment horizontal="right"/>
    </xf>
    <xf numFmtId="4" fontId="8" fillId="0" borderId="0" xfId="22" applyNumberFormat="1" applyFont="1" applyFill="1" applyAlignment="1">
      <alignment/>
    </xf>
    <xf numFmtId="43" fontId="8" fillId="0" borderId="0" xfId="22" applyNumberFormat="1" applyFont="1" applyFill="1" applyBorder="1" applyAlignment="1">
      <alignment/>
    </xf>
    <xf numFmtId="4" fontId="0" fillId="0" borderId="0" xfId="22" applyNumberFormat="1" applyFont="1" applyFill="1" applyAlignment="1">
      <alignment/>
    </xf>
    <xf numFmtId="17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75" fontId="0" fillId="0" borderId="0" xfId="2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171" fontId="6" fillId="0" borderId="0" xfId="19" applyNumberFormat="1" applyFont="1" applyFill="1" applyAlignment="1">
      <alignment/>
    </xf>
    <xf numFmtId="4" fontId="6" fillId="0" borderId="0" xfId="19" applyNumberFormat="1" applyFont="1" applyFill="1" applyBorder="1" applyAlignment="1">
      <alignment/>
    </xf>
    <xf numFmtId="171" fontId="6" fillId="0" borderId="0" xfId="15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Fill="1" applyAlignment="1">
      <alignment/>
    </xf>
    <xf numFmtId="171" fontId="5" fillId="0" borderId="0" xfId="15" applyFont="1" applyFill="1" applyBorder="1" applyAlignment="1">
      <alignment horizontal="center"/>
    </xf>
    <xf numFmtId="171" fontId="0" fillId="0" borderId="0" xfId="15" applyFill="1" applyAlignment="1">
      <alignment/>
    </xf>
    <xf numFmtId="172" fontId="6" fillId="0" borderId="0" xfId="20" applyNumberFormat="1" applyFont="1" applyFill="1" applyBorder="1" applyAlignment="1">
      <alignment/>
    </xf>
    <xf numFmtId="4" fontId="5" fillId="0" borderId="0" xfId="15" applyNumberFormat="1" applyFont="1" applyFill="1" applyAlignment="1">
      <alignment/>
    </xf>
    <xf numFmtId="171" fontId="5" fillId="0" borderId="0" xfId="15" applyFont="1" applyFill="1" applyAlignment="1">
      <alignment/>
    </xf>
    <xf numFmtId="4" fontId="6" fillId="0" borderId="0" xfId="15" applyNumberFormat="1" applyFont="1" applyFill="1" applyAlignment="1">
      <alignment/>
    </xf>
    <xf numFmtId="4" fontId="0" fillId="0" borderId="0" xfId="15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" fontId="1" fillId="0" borderId="0" xfId="2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22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left"/>
    </xf>
    <xf numFmtId="185" fontId="1" fillId="0" borderId="0" xfId="22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5" fontId="1" fillId="0" borderId="0" xfId="22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85" fontId="4" fillId="0" borderId="0" xfId="17" applyNumberFormat="1" applyFont="1" applyFill="1" applyBorder="1" applyAlignment="1">
      <alignment/>
    </xf>
    <xf numFmtId="185" fontId="14" fillId="0" borderId="0" xfId="0" applyNumberFormat="1" applyFont="1" applyFill="1" applyAlignment="1">
      <alignment horizontal="center"/>
    </xf>
    <xf numFmtId="185" fontId="1" fillId="0" borderId="0" xfId="17" applyNumberFormat="1" applyFont="1" applyFill="1" applyBorder="1" applyAlignment="1">
      <alignment/>
    </xf>
    <xf numFmtId="185" fontId="0" fillId="0" borderId="0" xfId="22" applyNumberFormat="1" applyFont="1" applyFill="1" applyBorder="1" applyAlignment="1">
      <alignment/>
    </xf>
    <xf numFmtId="185" fontId="12" fillId="0" borderId="0" xfId="22" applyNumberFormat="1" applyFont="1" applyFill="1" applyAlignment="1">
      <alignment/>
    </xf>
    <xf numFmtId="185" fontId="0" fillId="0" borderId="0" xfId="22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4" fontId="1" fillId="0" borderId="0" xfId="0" applyNumberFormat="1" applyFont="1" applyFill="1" applyAlignment="1" quotePrefix="1">
      <alignment horizontal="right"/>
    </xf>
    <xf numFmtId="185" fontId="5" fillId="0" borderId="0" xfId="0" applyNumberFormat="1" applyFont="1" applyFill="1" applyAlignment="1">
      <alignment horizontal="center"/>
    </xf>
    <xf numFmtId="185" fontId="0" fillId="0" borderId="1" xfId="22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185" fontId="2" fillId="0" borderId="0" xfId="22" applyNumberFormat="1" applyFont="1" applyFill="1" applyBorder="1" applyAlignment="1">
      <alignment/>
    </xf>
    <xf numFmtId="185" fontId="12" fillId="0" borderId="0" xfId="22" applyNumberFormat="1" applyFont="1" applyFill="1" applyAlignment="1">
      <alignment/>
    </xf>
    <xf numFmtId="185" fontId="0" fillId="0" borderId="0" xfId="22" applyNumberFormat="1" applyFont="1" applyFill="1" applyBorder="1" applyAlignment="1">
      <alignment/>
    </xf>
    <xf numFmtId="185" fontId="1" fillId="0" borderId="0" xfId="22" applyNumberFormat="1" applyFont="1" applyFill="1" applyAlignment="1">
      <alignment horizontal="right"/>
    </xf>
    <xf numFmtId="185" fontId="0" fillId="0" borderId="0" xfId="0" applyNumberFormat="1" applyFill="1" applyBorder="1" applyAlignment="1">
      <alignment/>
    </xf>
    <xf numFmtId="185" fontId="12" fillId="0" borderId="0" xfId="22" applyNumberFormat="1" applyFont="1" applyFill="1" applyBorder="1" applyAlignment="1">
      <alignment/>
    </xf>
    <xf numFmtId="185" fontId="0" fillId="0" borderId="0" xfId="22" applyNumberFormat="1" applyFont="1" applyFill="1" applyAlignment="1">
      <alignment horizontal="right"/>
    </xf>
    <xf numFmtId="185" fontId="0" fillId="0" borderId="0" xfId="17" applyNumberFormat="1" applyFont="1" applyFill="1" applyAlignment="1">
      <alignment horizontal="right"/>
    </xf>
    <xf numFmtId="185" fontId="8" fillId="0" borderId="0" xfId="22" applyNumberFormat="1" applyFont="1" applyFill="1" applyAlignment="1">
      <alignment/>
    </xf>
    <xf numFmtId="185" fontId="0" fillId="0" borderId="0" xfId="22" applyNumberFormat="1" applyFont="1" applyFill="1" applyAlignment="1">
      <alignment/>
    </xf>
    <xf numFmtId="185" fontId="11" fillId="0" borderId="0" xfId="22" applyNumberFormat="1" applyFont="1" applyFill="1" applyAlignment="1">
      <alignment/>
    </xf>
    <xf numFmtId="185" fontId="0" fillId="0" borderId="0" xfId="22" applyNumberFormat="1" applyFont="1" applyFill="1" applyBorder="1" applyAlignment="1">
      <alignment horizontal="right"/>
    </xf>
    <xf numFmtId="185" fontId="9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9" fillId="0" borderId="0" xfId="15" applyNumberFormat="1" applyFont="1" applyFill="1" applyAlignment="1">
      <alignment/>
    </xf>
    <xf numFmtId="185" fontId="0" fillId="0" borderId="1" xfId="22" applyNumberFormat="1" applyFont="1" applyFill="1" applyBorder="1" applyAlignment="1">
      <alignment horizontal="right"/>
    </xf>
    <xf numFmtId="185" fontId="12" fillId="0" borderId="1" xfId="0" applyNumberFormat="1" applyFont="1" applyFill="1" applyBorder="1" applyAlignment="1">
      <alignment/>
    </xf>
    <xf numFmtId="185" fontId="4" fillId="0" borderId="0" xfId="22" applyNumberFormat="1" applyFont="1" applyFill="1" applyAlignment="1">
      <alignment horizontal="right"/>
    </xf>
    <xf numFmtId="185" fontId="12" fillId="0" borderId="0" xfId="2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1" fillId="0" borderId="2" xfId="22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0" borderId="0" xfId="21" applyNumberFormat="1" applyFont="1" applyFill="1" applyBorder="1" applyAlignment="1">
      <alignment/>
    </xf>
    <xf numFmtId="185" fontId="6" fillId="0" borderId="0" xfId="23" applyNumberFormat="1" applyFont="1" applyFill="1" applyBorder="1" applyAlignment="1">
      <alignment horizontal="right"/>
    </xf>
    <xf numFmtId="185" fontId="6" fillId="0" borderId="1" xfId="0" applyNumberFormat="1" applyFont="1" applyFill="1" applyBorder="1" applyAlignment="1">
      <alignment/>
    </xf>
    <xf numFmtId="185" fontId="6" fillId="0" borderId="1" xfId="21" applyNumberFormat="1" applyFont="1" applyFill="1" applyBorder="1" applyAlignment="1">
      <alignment/>
    </xf>
    <xf numFmtId="185" fontId="6" fillId="0" borderId="1" xfId="23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3" xfId="21" applyNumberFormat="1" applyFont="1" applyFill="1" applyBorder="1" applyAlignment="1">
      <alignment/>
    </xf>
    <xf numFmtId="185" fontId="5" fillId="0" borderId="3" xfId="21" applyNumberFormat="1" applyFont="1" applyFill="1" applyBorder="1" applyAlignment="1">
      <alignment horizontal="right"/>
    </xf>
    <xf numFmtId="185" fontId="5" fillId="0" borderId="0" xfId="21" applyNumberFormat="1" applyFont="1" applyFill="1" applyBorder="1" applyAlignment="1">
      <alignment/>
    </xf>
    <xf numFmtId="185" fontId="6" fillId="0" borderId="4" xfId="0" applyNumberFormat="1" applyFont="1" applyFill="1" applyBorder="1" applyAlignment="1">
      <alignment/>
    </xf>
    <xf numFmtId="185" fontId="5" fillId="0" borderId="1" xfId="0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5" fillId="0" borderId="2" xfId="0" applyNumberFormat="1" applyFont="1" applyFill="1" applyBorder="1" applyAlignment="1">
      <alignment/>
    </xf>
    <xf numFmtId="185" fontId="5" fillId="0" borderId="5" xfId="21" applyNumberFormat="1" applyFont="1" applyFill="1" applyBorder="1" applyAlignment="1">
      <alignment/>
    </xf>
    <xf numFmtId="185" fontId="5" fillId="0" borderId="5" xfId="0" applyNumberFormat="1" applyFont="1" applyFill="1" applyBorder="1" applyAlignment="1">
      <alignment horizontal="right"/>
    </xf>
    <xf numFmtId="185" fontId="6" fillId="0" borderId="0" xfId="21" applyNumberFormat="1" applyFont="1" applyFill="1" applyBorder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2" xfId="21" applyNumberFormat="1" applyFont="1" applyFill="1" applyBorder="1" applyAlignment="1">
      <alignment/>
    </xf>
    <xf numFmtId="185" fontId="5" fillId="0" borderId="2" xfId="0" applyNumberFormat="1" applyFont="1" applyFill="1" applyBorder="1" applyAlignment="1">
      <alignment horizontal="right"/>
    </xf>
    <xf numFmtId="185" fontId="5" fillId="0" borderId="0" xfId="21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3" xfId="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22" applyNumberFormat="1" applyFont="1" applyFill="1" applyBorder="1" applyAlignment="1">
      <alignment horizontal="right"/>
    </xf>
    <xf numFmtId="185" fontId="6" fillId="0" borderId="0" xfId="22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19" applyNumberFormat="1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6" fillId="0" borderId="0" xfId="15" applyNumberFormat="1" applyFont="1" applyFill="1" applyBorder="1" applyAlignment="1">
      <alignment horizontal="center"/>
    </xf>
    <xf numFmtId="185" fontId="5" fillId="0" borderId="5" xfId="19" applyNumberFormat="1" applyFont="1" applyFill="1" applyBorder="1" applyAlignment="1">
      <alignment/>
    </xf>
    <xf numFmtId="185" fontId="6" fillId="0" borderId="0" xfId="19" applyNumberFormat="1" applyFont="1" applyFill="1" applyBorder="1" applyAlignment="1">
      <alignment/>
    </xf>
    <xf numFmtId="185" fontId="6" fillId="0" borderId="0" xfId="15" applyNumberFormat="1" applyFont="1" applyFill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6" fillId="0" borderId="0" xfId="15" applyNumberFormat="1" applyFont="1" applyFill="1" applyAlignment="1">
      <alignment/>
    </xf>
    <xf numFmtId="185" fontId="5" fillId="0" borderId="5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5" fillId="0" borderId="5" xfId="19" applyNumberFormat="1" applyFont="1" applyFill="1" applyBorder="1" applyAlignment="1">
      <alignment horizontal="right"/>
    </xf>
    <xf numFmtId="185" fontId="6" fillId="0" borderId="0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 horizontal="right"/>
    </xf>
    <xf numFmtId="185" fontId="6" fillId="0" borderId="0" xfId="15" applyNumberFormat="1" applyFont="1" applyFill="1" applyBorder="1" applyAlignment="1">
      <alignment horizontal="right"/>
    </xf>
    <xf numFmtId="185" fontId="5" fillId="0" borderId="3" xfId="19" applyNumberFormat="1" applyFont="1" applyFill="1" applyBorder="1" applyAlignment="1">
      <alignment/>
    </xf>
    <xf numFmtId="185" fontId="5" fillId="0" borderId="3" xfId="19" applyNumberFormat="1" applyFont="1" applyFill="1" applyBorder="1" applyAlignment="1">
      <alignment horizontal="right"/>
    </xf>
    <xf numFmtId="185" fontId="6" fillId="0" borderId="0" xfId="15" applyNumberFormat="1" applyFont="1" applyFill="1" applyAlignment="1">
      <alignment/>
    </xf>
    <xf numFmtId="185" fontId="6" fillId="0" borderId="0" xfId="20" applyNumberFormat="1" applyFont="1" applyFill="1" applyBorder="1" applyAlignment="1">
      <alignment/>
    </xf>
    <xf numFmtId="185" fontId="6" fillId="0" borderId="0" xfId="23" applyNumberFormat="1" applyFont="1" applyFill="1" applyAlignment="1">
      <alignment horizontal="center"/>
    </xf>
    <xf numFmtId="185" fontId="5" fillId="0" borderId="5" xfId="20" applyNumberFormat="1" applyFont="1" applyFill="1" applyBorder="1" applyAlignment="1">
      <alignment/>
    </xf>
    <xf numFmtId="185" fontId="6" fillId="0" borderId="0" xfId="23" applyNumberFormat="1" applyFont="1" applyFill="1" applyBorder="1" applyAlignment="1">
      <alignment horizontal="center"/>
    </xf>
    <xf numFmtId="185" fontId="6" fillId="0" borderId="4" xfId="20" applyNumberFormat="1" applyFont="1" applyFill="1" applyBorder="1" applyAlignment="1">
      <alignment/>
    </xf>
    <xf numFmtId="185" fontId="6" fillId="0" borderId="4" xfId="23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/>
    </xf>
    <xf numFmtId="185" fontId="6" fillId="0" borderId="0" xfId="2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/>
    </xf>
    <xf numFmtId="185" fontId="5" fillId="0" borderId="5" xfId="0" applyNumberFormat="1" applyFont="1" applyFill="1" applyBorder="1" applyAlignment="1">
      <alignment/>
    </xf>
    <xf numFmtId="185" fontId="0" fillId="0" borderId="0" xfId="0" applyNumberFormat="1" applyFill="1" applyAlignment="1">
      <alignment horizontal="right"/>
    </xf>
    <xf numFmtId="185" fontId="5" fillId="0" borderId="3" xfId="0" applyNumberFormat="1" applyFont="1" applyFill="1" applyBorder="1" applyAlignment="1">
      <alignment horizontal="center"/>
    </xf>
    <xf numFmtId="185" fontId="6" fillId="0" borderId="0" xfId="20" applyNumberFormat="1" applyFont="1" applyFill="1" applyBorder="1" applyAlignment="1">
      <alignment horizontal="right"/>
    </xf>
    <xf numFmtId="185" fontId="5" fillId="0" borderId="4" xfId="19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85" fontId="4" fillId="0" borderId="0" xfId="17" applyNumberFormat="1" applyFont="1" applyFill="1" applyBorder="1" applyAlignment="1">
      <alignment horizontal="right"/>
    </xf>
    <xf numFmtId="185" fontId="1" fillId="0" borderId="0" xfId="22" applyNumberFormat="1" applyFont="1" applyFill="1" applyBorder="1" applyAlignment="1">
      <alignment horizontal="right"/>
    </xf>
    <xf numFmtId="185" fontId="1" fillId="0" borderId="0" xfId="17" applyNumberFormat="1" applyFont="1" applyFill="1" applyBorder="1" applyAlignment="1">
      <alignment horizontal="right"/>
    </xf>
    <xf numFmtId="185" fontId="2" fillId="0" borderId="0" xfId="22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8" fillId="0" borderId="0" xfId="22" applyNumberFormat="1" applyFont="1" applyFill="1" applyAlignment="1">
      <alignment horizontal="right"/>
    </xf>
    <xf numFmtId="185" fontId="11" fillId="0" borderId="0" xfId="22" applyNumberFormat="1" applyFont="1" applyFill="1" applyAlignment="1">
      <alignment horizontal="right"/>
    </xf>
    <xf numFmtId="185" fontId="9" fillId="0" borderId="0" xfId="15" applyNumberFormat="1" applyFont="1" applyFill="1" applyAlignment="1">
      <alignment horizontal="right"/>
    </xf>
    <xf numFmtId="185" fontId="12" fillId="0" borderId="0" xfId="22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6" fontId="5" fillId="0" borderId="2" xfId="22" applyNumberFormat="1" applyFont="1" applyFill="1" applyBorder="1" applyAlignment="1">
      <alignment horizontal="right"/>
    </xf>
    <xf numFmtId="185" fontId="5" fillId="0" borderId="0" xfId="20" applyNumberFormat="1" applyFont="1" applyFill="1" applyBorder="1" applyAlignment="1">
      <alignment/>
    </xf>
    <xf numFmtId="186" fontId="5" fillId="0" borderId="0" xfId="22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85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llares [0]_1 er Informe jun-ago. 2001" xfId="19"/>
    <cellStyle name="Millares [0]_1er informe 2001" xfId="20"/>
    <cellStyle name="Millares [0]_Ingresos" xfId="21"/>
    <cellStyle name="Millares_1er informe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SheetLayoutView="100" workbookViewId="0" topLeftCell="A16">
      <selection activeCell="D10" sqref="D10"/>
    </sheetView>
  </sheetViews>
  <sheetFormatPr defaultColWidth="9.140625" defaultRowHeight="12.75"/>
  <cols>
    <col min="1" max="1" width="11.57421875" style="2" customWidth="1"/>
    <col min="2" max="2" width="1.7109375" style="2" customWidth="1"/>
    <col min="3" max="3" width="35.57421875" style="2" customWidth="1"/>
    <col min="4" max="4" width="10.57421875" style="2" customWidth="1"/>
    <col min="5" max="5" width="2.7109375" style="2" customWidth="1"/>
    <col min="6" max="6" width="13.7109375" style="25" bestFit="1" customWidth="1"/>
    <col min="7" max="7" width="2.7109375" style="223" customWidth="1"/>
    <col min="8" max="8" width="16.8515625" style="25" bestFit="1" customWidth="1"/>
    <col min="9" max="9" width="18.140625" style="2" customWidth="1"/>
    <col min="10" max="16384" width="11.421875" style="2" customWidth="1"/>
  </cols>
  <sheetData>
    <row r="2" spans="1:8" ht="15.75" customHeight="1">
      <c r="A2" s="243" t="s">
        <v>371</v>
      </c>
      <c r="B2" s="243"/>
      <c r="C2" s="243"/>
      <c r="D2" s="243"/>
      <c r="E2" s="243"/>
      <c r="F2" s="243"/>
      <c r="G2" s="243"/>
      <c r="H2" s="243"/>
    </row>
    <row r="3" spans="1:8" ht="15.75" customHeight="1">
      <c r="A3" s="243" t="s">
        <v>585</v>
      </c>
      <c r="B3" s="243"/>
      <c r="C3" s="243"/>
      <c r="D3" s="243"/>
      <c r="E3" s="243"/>
      <c r="F3" s="243"/>
      <c r="G3" s="243"/>
      <c r="H3" s="243"/>
    </row>
    <row r="4" spans="1:8" ht="12.75" customHeight="1">
      <c r="A4" s="244" t="s">
        <v>397</v>
      </c>
      <c r="B4" s="244"/>
      <c r="C4" s="244"/>
      <c r="D4" s="244"/>
      <c r="E4" s="244"/>
      <c r="F4" s="244"/>
      <c r="G4" s="244"/>
      <c r="H4" s="244"/>
    </row>
    <row r="5" spans="1:8" ht="13.5" customHeight="1">
      <c r="A5" s="244" t="s">
        <v>497</v>
      </c>
      <c r="B5" s="244"/>
      <c r="C5" s="244"/>
      <c r="D5" s="244"/>
      <c r="E5" s="244"/>
      <c r="F5" s="244"/>
      <c r="G5" s="244"/>
      <c r="H5" s="244"/>
    </row>
    <row r="6" spans="3:8" ht="12.75">
      <c r="C6" s="46"/>
      <c r="D6" s="46"/>
      <c r="E6" s="46"/>
      <c r="F6" s="47"/>
      <c r="G6" s="220"/>
      <c r="H6" s="47"/>
    </row>
    <row r="7" spans="3:8" ht="12.75">
      <c r="C7" s="46"/>
      <c r="D7" s="46"/>
      <c r="E7" s="46"/>
      <c r="F7" s="47"/>
      <c r="G7" s="220"/>
      <c r="H7" s="47"/>
    </row>
    <row r="8" spans="1:8" ht="15">
      <c r="A8" s="6" t="s">
        <v>319</v>
      </c>
      <c r="B8" s="6"/>
      <c r="C8" s="89"/>
      <c r="D8" s="89"/>
      <c r="E8" s="89"/>
      <c r="F8" s="90"/>
      <c r="G8" s="221"/>
      <c r="H8" s="90"/>
    </row>
    <row r="9" spans="1:8" ht="15">
      <c r="A9" s="98" t="s">
        <v>318</v>
      </c>
      <c r="B9" s="96"/>
      <c r="C9" s="99" t="s">
        <v>0</v>
      </c>
      <c r="D9" s="99"/>
      <c r="E9" s="99"/>
      <c r="F9" s="100"/>
      <c r="G9" s="222"/>
      <c r="H9" s="100" t="s">
        <v>1</v>
      </c>
    </row>
    <row r="10" spans="3:8" ht="14.25">
      <c r="C10" s="49"/>
      <c r="D10" s="49"/>
      <c r="E10" s="49"/>
      <c r="H10" s="90"/>
    </row>
    <row r="11" spans="1:9" ht="14.25" customHeight="1">
      <c r="A11" s="19"/>
      <c r="B11" s="19"/>
      <c r="C11" s="86" t="s">
        <v>140</v>
      </c>
      <c r="D11" s="86"/>
      <c r="E11" s="113"/>
      <c r="F11" s="114"/>
      <c r="G11" s="224" t="s">
        <v>396</v>
      </c>
      <c r="H11" s="116">
        <v>159542275.1</v>
      </c>
      <c r="I11" s="102"/>
    </row>
    <row r="12" spans="1:9" ht="14.25" customHeight="1">
      <c r="A12" s="19"/>
      <c r="B12" s="19"/>
      <c r="C12" s="86"/>
      <c r="D12" s="86"/>
      <c r="E12" s="113"/>
      <c r="F12" s="114"/>
      <c r="G12" s="225"/>
      <c r="H12" s="117"/>
      <c r="I12" s="48"/>
    </row>
    <row r="13" spans="1:9" ht="14.25" customHeight="1">
      <c r="A13" s="19"/>
      <c r="B13" s="19"/>
      <c r="C13" s="86"/>
      <c r="D13" s="86"/>
      <c r="E13" s="113"/>
      <c r="F13" s="114"/>
      <c r="G13" s="225"/>
      <c r="H13" s="117"/>
      <c r="I13" s="48"/>
    </row>
    <row r="14" spans="1:9" ht="15">
      <c r="A14" s="101" t="s">
        <v>392</v>
      </c>
      <c r="C14" s="9"/>
      <c r="D14" s="9"/>
      <c r="E14" s="118"/>
      <c r="F14" s="114"/>
      <c r="G14" s="225"/>
      <c r="H14" s="119"/>
      <c r="I14" s="19"/>
    </row>
    <row r="15" spans="3:9" ht="15">
      <c r="C15" s="97" t="s">
        <v>393</v>
      </c>
      <c r="D15" s="97"/>
      <c r="E15" s="120"/>
      <c r="F15" s="121"/>
      <c r="G15" s="226"/>
      <c r="H15" s="116">
        <f>SUM(F17:F26)</f>
        <v>978405638.63</v>
      </c>
      <c r="I15" s="32"/>
    </row>
    <row r="16" spans="3:9" ht="14.25">
      <c r="C16" s="9"/>
      <c r="D16" s="9"/>
      <c r="E16" s="118"/>
      <c r="F16" s="122"/>
      <c r="G16" s="142"/>
      <c r="H16" s="123"/>
      <c r="I16" s="19"/>
    </row>
    <row r="17" spans="1:9" ht="14.25">
      <c r="A17" s="6" t="s">
        <v>320</v>
      </c>
      <c r="B17" s="6"/>
      <c r="C17" s="9" t="s">
        <v>2</v>
      </c>
      <c r="D17" s="234"/>
      <c r="E17" s="118" t="s">
        <v>396</v>
      </c>
      <c r="F17" s="124">
        <f>Sub!E30</f>
        <v>950730714.5699999</v>
      </c>
      <c r="G17" s="138"/>
      <c r="H17" s="125"/>
      <c r="I17" s="50"/>
    </row>
    <row r="18" spans="1:9" ht="14.25">
      <c r="A18" s="6"/>
      <c r="B18" s="6"/>
      <c r="C18" s="12"/>
      <c r="D18" s="12"/>
      <c r="E18" s="127"/>
      <c r="F18" s="124"/>
      <c r="G18" s="137"/>
      <c r="H18" s="125"/>
      <c r="I18" s="19"/>
    </row>
    <row r="19" spans="1:9" ht="14.25">
      <c r="A19" s="6"/>
      <c r="B19" s="6"/>
      <c r="C19" s="9"/>
      <c r="D19" s="234"/>
      <c r="E19" s="118"/>
      <c r="F19" s="124"/>
      <c r="G19" s="137"/>
      <c r="H19" s="125"/>
      <c r="I19" s="19"/>
    </row>
    <row r="20" spans="1:9" ht="14.25">
      <c r="A20" s="6" t="s">
        <v>321</v>
      </c>
      <c r="B20" s="6"/>
      <c r="C20" s="9" t="s">
        <v>4</v>
      </c>
      <c r="D20" s="234"/>
      <c r="E20" s="118"/>
      <c r="F20" s="124">
        <f>'Ing.Prop'!E51</f>
        <v>20954449.4</v>
      </c>
      <c r="G20" s="137"/>
      <c r="H20" s="125"/>
      <c r="I20" s="50"/>
    </row>
    <row r="21" spans="1:9" ht="14.25">
      <c r="A21" s="6"/>
      <c r="B21" s="6"/>
      <c r="C21" s="12"/>
      <c r="D21" s="12"/>
      <c r="E21" s="127"/>
      <c r="F21" s="124"/>
      <c r="G21" s="137"/>
      <c r="H21" s="125"/>
      <c r="I21" s="19"/>
    </row>
    <row r="22" spans="1:9" ht="14.25">
      <c r="A22" s="6"/>
      <c r="B22" s="6"/>
      <c r="C22" s="9"/>
      <c r="D22" s="234"/>
      <c r="E22" s="118"/>
      <c r="F22" s="124"/>
      <c r="G22" s="137"/>
      <c r="H22" s="125"/>
      <c r="I22" s="19"/>
    </row>
    <row r="23" spans="1:9" ht="14.25">
      <c r="A23" s="6" t="s">
        <v>322</v>
      </c>
      <c r="B23" s="6"/>
      <c r="C23" s="9" t="s">
        <v>6</v>
      </c>
      <c r="D23" s="234"/>
      <c r="E23" s="118"/>
      <c r="F23" s="124">
        <f>'O.Ing.Prop'!E20</f>
        <v>2144177.9699999997</v>
      </c>
      <c r="G23" s="137"/>
      <c r="H23" s="125"/>
      <c r="I23" s="50"/>
    </row>
    <row r="24" spans="1:9" ht="14.25">
      <c r="A24" s="6"/>
      <c r="B24" s="6"/>
      <c r="C24" s="12"/>
      <c r="D24" s="12"/>
      <c r="E24" s="127"/>
      <c r="F24" s="124"/>
      <c r="G24" s="137"/>
      <c r="H24" s="125"/>
      <c r="I24" s="19"/>
    </row>
    <row r="25" spans="1:9" ht="14.25">
      <c r="A25" s="6"/>
      <c r="B25" s="6"/>
      <c r="C25" s="9"/>
      <c r="D25" s="234"/>
      <c r="E25" s="118"/>
      <c r="F25" s="117"/>
      <c r="G25" s="216"/>
      <c r="H25" s="125"/>
      <c r="I25" s="19"/>
    </row>
    <row r="26" spans="1:9" ht="14.25">
      <c r="A26" s="6" t="s">
        <v>323</v>
      </c>
      <c r="B26" s="6"/>
      <c r="C26" s="9" t="s">
        <v>9</v>
      </c>
      <c r="D26" s="234"/>
      <c r="E26" s="118"/>
      <c r="F26" s="128">
        <f>'O.Ing'!E21</f>
        <v>4576296.6899999995</v>
      </c>
      <c r="G26" s="137"/>
      <c r="H26" s="125"/>
      <c r="I26" s="50"/>
    </row>
    <row r="27" spans="3:9" ht="14.25">
      <c r="C27" s="12"/>
      <c r="D27" s="12"/>
      <c r="E27" s="127"/>
      <c r="F27" s="122"/>
      <c r="G27" s="142"/>
      <c r="H27" s="125"/>
      <c r="I27" s="19"/>
    </row>
    <row r="28" spans="3:9" ht="14.25">
      <c r="C28" s="9"/>
      <c r="D28" s="234"/>
      <c r="E28" s="118"/>
      <c r="F28" s="122"/>
      <c r="G28" s="142"/>
      <c r="H28" s="123"/>
      <c r="I28" s="19"/>
    </row>
    <row r="29" spans="1:9" ht="15.75" customHeight="1">
      <c r="A29" s="19"/>
      <c r="B29" s="19"/>
      <c r="C29" s="3"/>
      <c r="D29" s="3"/>
      <c r="E29" s="129"/>
      <c r="F29" s="114"/>
      <c r="G29" s="225"/>
      <c r="H29" s="117"/>
      <c r="I29" s="51"/>
    </row>
    <row r="30" spans="1:9" ht="14.25">
      <c r="A30" s="101" t="s">
        <v>394</v>
      </c>
      <c r="C30" s="49"/>
      <c r="D30" s="235"/>
      <c r="E30" s="130"/>
      <c r="F30" s="131"/>
      <c r="G30" s="227"/>
      <c r="H30" s="132"/>
      <c r="I30" s="19"/>
    </row>
    <row r="31" spans="3:9" ht="15">
      <c r="C31" s="97" t="s">
        <v>395</v>
      </c>
      <c r="D31" s="97"/>
      <c r="E31" s="120"/>
      <c r="F31" s="133"/>
      <c r="G31" s="142"/>
      <c r="H31" s="134">
        <f>SUM(F33:F42)</f>
        <v>929732886.86</v>
      </c>
      <c r="I31" s="32"/>
    </row>
    <row r="32" spans="3:9" ht="14.25">
      <c r="C32" s="9"/>
      <c r="D32" s="234"/>
      <c r="E32" s="118"/>
      <c r="F32" s="135"/>
      <c r="G32" s="228"/>
      <c r="H32" s="136"/>
      <c r="I32" s="19"/>
    </row>
    <row r="33" spans="1:9" ht="14.25">
      <c r="A33" s="6" t="s">
        <v>324</v>
      </c>
      <c r="B33" s="6"/>
      <c r="C33" s="9" t="s">
        <v>11</v>
      </c>
      <c r="D33" s="234"/>
      <c r="E33" s="118" t="s">
        <v>396</v>
      </c>
      <c r="F33" s="137">
        <f>'Serv.Per'!E117</f>
        <v>757469921.35</v>
      </c>
      <c r="G33" s="138"/>
      <c r="H33" s="125"/>
      <c r="I33" s="52"/>
    </row>
    <row r="34" spans="1:9" ht="14.25">
      <c r="A34" s="6"/>
      <c r="B34" s="6"/>
      <c r="C34" s="12"/>
      <c r="D34" s="12"/>
      <c r="E34" s="127"/>
      <c r="F34" s="139"/>
      <c r="G34" s="229"/>
      <c r="H34" s="125"/>
      <c r="I34" s="54"/>
    </row>
    <row r="35" spans="1:9" ht="14.25">
      <c r="A35" s="6"/>
      <c r="B35" s="6"/>
      <c r="C35" s="9"/>
      <c r="D35" s="234"/>
      <c r="E35" s="118"/>
      <c r="F35" s="140"/>
      <c r="G35" s="137"/>
      <c r="H35" s="125"/>
      <c r="I35" s="19"/>
    </row>
    <row r="36" spans="1:9" ht="14.25">
      <c r="A36" s="6" t="s">
        <v>325</v>
      </c>
      <c r="B36" s="6"/>
      <c r="C36" s="9" t="s">
        <v>13</v>
      </c>
      <c r="D36" s="234"/>
      <c r="E36" s="118"/>
      <c r="F36" s="137">
        <f>'Mat.Cons'!E20</f>
        <v>5222819.69</v>
      </c>
      <c r="G36" s="137"/>
      <c r="H36" s="125"/>
      <c r="I36" s="52"/>
    </row>
    <row r="37" spans="1:9" ht="14.25">
      <c r="A37" s="6"/>
      <c r="B37" s="6"/>
      <c r="C37" s="12"/>
      <c r="D37" s="12"/>
      <c r="E37" s="127"/>
      <c r="F37" s="141"/>
      <c r="G37" s="230"/>
      <c r="H37" s="125"/>
      <c r="I37" s="19"/>
    </row>
    <row r="38" spans="1:9" ht="12.75">
      <c r="A38" s="6"/>
      <c r="B38" s="6"/>
      <c r="C38" s="9"/>
      <c r="D38" s="234"/>
      <c r="E38" s="118"/>
      <c r="F38" s="141"/>
      <c r="G38" s="230"/>
      <c r="I38" s="19"/>
    </row>
    <row r="39" spans="1:9" ht="14.25">
      <c r="A39" s="6" t="s">
        <v>326</v>
      </c>
      <c r="B39" s="6"/>
      <c r="C39" s="9" t="s">
        <v>15</v>
      </c>
      <c r="D39" s="234"/>
      <c r="E39" s="118"/>
      <c r="F39" s="142">
        <f>'Serv.Grals'!E48</f>
        <v>21073206.78</v>
      </c>
      <c r="G39" s="142"/>
      <c r="H39" s="125"/>
      <c r="I39" s="52"/>
    </row>
    <row r="40" spans="1:9" ht="12.75">
      <c r="A40" s="6"/>
      <c r="B40" s="6"/>
      <c r="C40" s="12"/>
      <c r="D40" s="12"/>
      <c r="E40" s="127"/>
      <c r="F40" s="143"/>
      <c r="G40" s="216"/>
      <c r="I40" s="54"/>
    </row>
    <row r="41" spans="1:8" ht="12.75">
      <c r="A41" s="6"/>
      <c r="B41" s="6"/>
      <c r="C41" s="10"/>
      <c r="D41" s="6"/>
      <c r="E41" s="144"/>
      <c r="F41" s="145"/>
      <c r="G41" s="231"/>
      <c r="H41" s="117"/>
    </row>
    <row r="42" spans="1:9" ht="14.25">
      <c r="A42" s="6" t="s">
        <v>327</v>
      </c>
      <c r="B42" s="6"/>
      <c r="C42" s="9" t="s">
        <v>17</v>
      </c>
      <c r="D42" s="234"/>
      <c r="E42" s="118"/>
      <c r="F42" s="146">
        <f>'Gto.Comp'!E20</f>
        <v>145966939.04</v>
      </c>
      <c r="G42" s="142" t="s">
        <v>23</v>
      </c>
      <c r="H42" s="147"/>
      <c r="I42" s="52"/>
    </row>
    <row r="43" spans="3:9" ht="15">
      <c r="C43" s="12"/>
      <c r="D43" s="12"/>
      <c r="E43" s="127"/>
      <c r="F43" s="133"/>
      <c r="G43" s="142"/>
      <c r="H43" s="148"/>
      <c r="I43" s="19"/>
    </row>
    <row r="44" spans="3:9" ht="14.25">
      <c r="C44" s="10"/>
      <c r="D44" s="6"/>
      <c r="E44" s="144"/>
      <c r="F44" s="133"/>
      <c r="G44" s="142"/>
      <c r="H44" s="149"/>
      <c r="I44" s="19"/>
    </row>
    <row r="45" spans="1:9" ht="14.25" customHeight="1" thickBot="1">
      <c r="A45" s="3" t="s">
        <v>328</v>
      </c>
      <c r="B45" s="19"/>
      <c r="C45" s="92" t="s">
        <v>139</v>
      </c>
      <c r="D45" s="95"/>
      <c r="E45" s="150"/>
      <c r="F45" s="117"/>
      <c r="G45" s="224" t="s">
        <v>396</v>
      </c>
      <c r="H45" s="151">
        <f>H11+H15-H31</f>
        <v>208215026.87</v>
      </c>
      <c r="I45" s="112"/>
    </row>
    <row r="46" spans="1:9" ht="12.75" customHeight="1" thickTop="1">
      <c r="A46" s="19"/>
      <c r="B46" s="19"/>
      <c r="C46" s="95"/>
      <c r="D46" s="95"/>
      <c r="E46" s="152"/>
      <c r="F46" s="133"/>
      <c r="G46" s="232"/>
      <c r="H46" s="115"/>
      <c r="I46" s="56"/>
    </row>
    <row r="47" spans="1:9" ht="12.75" customHeight="1">
      <c r="A47" s="19"/>
      <c r="B47" s="19"/>
      <c r="C47" s="92"/>
      <c r="D47" s="95"/>
      <c r="E47" s="150"/>
      <c r="F47" s="117"/>
      <c r="G47" s="228"/>
      <c r="H47" s="143"/>
      <c r="I47" s="51"/>
    </row>
    <row r="48" spans="2:9" ht="12.75">
      <c r="B48" s="3"/>
      <c r="D48" s="4"/>
      <c r="E48" s="117"/>
      <c r="G48" s="233"/>
      <c r="H48" s="117"/>
      <c r="I48" s="45"/>
    </row>
    <row r="49" spans="3:9" ht="12.75">
      <c r="C49" s="86" t="s">
        <v>587</v>
      </c>
      <c r="D49" s="57"/>
      <c r="E49" s="153"/>
      <c r="F49" s="117"/>
      <c r="G49" s="228"/>
      <c r="H49" s="143"/>
      <c r="I49" s="58"/>
    </row>
    <row r="50" spans="3:9" ht="12.75">
      <c r="C50" s="2" t="s">
        <v>588</v>
      </c>
      <c r="D50" s="4"/>
      <c r="E50" s="117"/>
      <c r="F50" s="117"/>
      <c r="G50" s="216"/>
      <c r="H50" s="139"/>
      <c r="I50" s="50"/>
    </row>
    <row r="51" spans="3:9" ht="12.75">
      <c r="C51" s="2" t="s">
        <v>589</v>
      </c>
      <c r="D51" s="4"/>
      <c r="H51" s="53"/>
      <c r="I51" s="19"/>
    </row>
    <row r="52" spans="4:9" ht="12.75">
      <c r="D52" s="4"/>
      <c r="H52" s="53"/>
      <c r="I52" s="53"/>
    </row>
    <row r="53" ht="12.75">
      <c r="I53" s="59"/>
    </row>
    <row r="54" ht="12.75">
      <c r="I54" s="60"/>
    </row>
    <row r="55" ht="12.75">
      <c r="H55" s="55"/>
    </row>
  </sheetData>
  <mergeCells count="4">
    <mergeCell ref="A2:H2"/>
    <mergeCell ref="A3:H3"/>
    <mergeCell ref="A4:H4"/>
    <mergeCell ref="A5:H5"/>
  </mergeCells>
  <printOptions/>
  <pageMargins left="0.96" right="0.35" top="0.58" bottom="0.7874015748031497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3" sqref="A3:F3"/>
    </sheetView>
  </sheetViews>
  <sheetFormatPr defaultColWidth="9.140625" defaultRowHeight="12.75"/>
  <cols>
    <col min="1" max="1" width="35.00390625" style="2" customWidth="1"/>
    <col min="2" max="4" width="11.421875" style="25" customWidth="1"/>
    <col min="5" max="5" width="12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6" t="s">
        <v>14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412</v>
      </c>
      <c r="B4" s="245"/>
      <c r="C4" s="245"/>
      <c r="D4" s="245"/>
      <c r="E4" s="245"/>
      <c r="F4" s="245"/>
    </row>
    <row r="5" spans="1:7" ht="15">
      <c r="A5" s="245" t="s">
        <v>490</v>
      </c>
      <c r="B5" s="245"/>
      <c r="C5" s="245"/>
      <c r="D5" s="245"/>
      <c r="E5" s="245"/>
      <c r="F5" s="245"/>
      <c r="G5" s="41"/>
    </row>
    <row r="6" spans="1:6" ht="8.25" customHeight="1">
      <c r="A6" s="19"/>
      <c r="B6" s="19"/>
      <c r="C6" s="19"/>
      <c r="D6" s="19"/>
      <c r="E6" s="19"/>
      <c r="F6" s="19"/>
    </row>
    <row r="7" spans="1:6" ht="8.25" customHeight="1">
      <c r="A7" s="19"/>
      <c r="B7" s="19"/>
      <c r="C7" s="19"/>
      <c r="D7" s="19"/>
      <c r="E7" s="19"/>
      <c r="F7" s="19"/>
    </row>
    <row r="8" spans="1:6" ht="10.5" customHeight="1">
      <c r="A8" s="19"/>
      <c r="B8" s="19"/>
      <c r="C8" s="19"/>
      <c r="D8" s="19"/>
      <c r="E8" s="19"/>
      <c r="F8" s="19"/>
    </row>
    <row r="9" spans="1:6" ht="10.5" customHeight="1">
      <c r="A9" s="83"/>
      <c r="B9" s="83"/>
      <c r="C9" s="83"/>
      <c r="D9" s="83"/>
      <c r="E9" s="83"/>
      <c r="F9" s="3"/>
    </row>
    <row r="10" spans="1:6" ht="18.75" customHeight="1">
      <c r="A10" s="108" t="s">
        <v>19</v>
      </c>
      <c r="B10" s="109" t="s">
        <v>487</v>
      </c>
      <c r="C10" s="109" t="s">
        <v>488</v>
      </c>
      <c r="D10" s="109" t="s">
        <v>489</v>
      </c>
      <c r="E10" s="108" t="s">
        <v>20</v>
      </c>
      <c r="F10" s="98" t="s">
        <v>21</v>
      </c>
    </row>
    <row r="11" spans="1:6" ht="12.75">
      <c r="A11" s="83"/>
      <c r="B11" s="83"/>
      <c r="C11" s="83"/>
      <c r="D11" s="83"/>
      <c r="E11" s="83"/>
      <c r="F11" s="3"/>
    </row>
    <row r="12" ht="6" customHeight="1"/>
    <row r="13" spans="1:6" ht="12.75">
      <c r="A13" s="7" t="s">
        <v>73</v>
      </c>
      <c r="B13" s="189">
        <v>2995339</v>
      </c>
      <c r="C13" s="189">
        <v>1615401</v>
      </c>
      <c r="D13" s="189">
        <v>1341990</v>
      </c>
      <c r="E13" s="189">
        <f aca="true" t="shared" si="0" ref="E13:E44">SUM(B13:D13)</f>
        <v>5952730</v>
      </c>
      <c r="F13" s="202">
        <f aca="true" t="shared" si="1" ref="F13:F46">(E13/$E$48)*100</f>
        <v>28.247860243318883</v>
      </c>
    </row>
    <row r="14" spans="1:6" ht="12.75">
      <c r="A14" s="7" t="s">
        <v>74</v>
      </c>
      <c r="B14" s="189">
        <v>590896.22</v>
      </c>
      <c r="C14" s="189"/>
      <c r="D14" s="189">
        <v>210738.73</v>
      </c>
      <c r="E14" s="189">
        <f t="shared" si="0"/>
        <v>801634.95</v>
      </c>
      <c r="F14" s="202">
        <f t="shared" si="1"/>
        <v>3.8040482322833253</v>
      </c>
    </row>
    <row r="15" spans="1:6" ht="12.75">
      <c r="A15" s="7" t="s">
        <v>75</v>
      </c>
      <c r="B15" s="189">
        <v>853677.34</v>
      </c>
      <c r="C15" s="189">
        <v>880582.83</v>
      </c>
      <c r="D15" s="189">
        <v>830668.19</v>
      </c>
      <c r="E15" s="189">
        <f t="shared" si="0"/>
        <v>2564928.36</v>
      </c>
      <c r="F15" s="202">
        <f t="shared" si="1"/>
        <v>12.171514220770153</v>
      </c>
    </row>
    <row r="16" spans="1:6" ht="12.75">
      <c r="A16" s="7" t="s">
        <v>150</v>
      </c>
      <c r="B16" s="189">
        <v>111451</v>
      </c>
      <c r="C16" s="189">
        <v>113967</v>
      </c>
      <c r="D16" s="189">
        <v>119340</v>
      </c>
      <c r="E16" s="189">
        <f t="shared" si="0"/>
        <v>344758</v>
      </c>
      <c r="F16" s="202">
        <f t="shared" si="1"/>
        <v>1.636001599562912</v>
      </c>
    </row>
    <row r="17" spans="1:6" ht="12.75">
      <c r="A17" s="7" t="s">
        <v>76</v>
      </c>
      <c r="B17" s="189">
        <v>131603.68</v>
      </c>
      <c r="C17" s="189">
        <v>129446.25</v>
      </c>
      <c r="D17" s="189">
        <v>97811.25</v>
      </c>
      <c r="E17" s="189">
        <f t="shared" si="0"/>
        <v>358861.18</v>
      </c>
      <c r="F17" s="202">
        <f t="shared" si="1"/>
        <v>1.70292629757985</v>
      </c>
    </row>
    <row r="18" spans="1:6" ht="12.75">
      <c r="A18" s="7" t="s">
        <v>456</v>
      </c>
      <c r="B18" s="189"/>
      <c r="C18" s="189">
        <v>13800</v>
      </c>
      <c r="D18" s="189"/>
      <c r="E18" s="189">
        <f>SUM(B18:D18)</f>
        <v>13800</v>
      </c>
      <c r="F18" s="202">
        <f t="shared" si="1"/>
        <v>0.0654859990891239</v>
      </c>
    </row>
    <row r="19" spans="1:6" ht="12.75">
      <c r="A19" s="7" t="s">
        <v>294</v>
      </c>
      <c r="B19" s="189">
        <v>104518.47</v>
      </c>
      <c r="C19" s="189">
        <f>5750+58274.36</f>
        <v>64024.36</v>
      </c>
      <c r="D19" s="189">
        <v>167183.6</v>
      </c>
      <c r="E19" s="189">
        <f t="shared" si="0"/>
        <v>335726.43000000005</v>
      </c>
      <c r="F19" s="202">
        <f t="shared" si="1"/>
        <v>1.5931435282010746</v>
      </c>
    </row>
    <row r="20" spans="1:6" ht="12.75">
      <c r="A20" s="7" t="s">
        <v>295</v>
      </c>
      <c r="B20" s="189">
        <v>19600</v>
      </c>
      <c r="C20" s="189">
        <v>19600</v>
      </c>
      <c r="D20" s="189">
        <v>20800</v>
      </c>
      <c r="E20" s="189">
        <f t="shared" si="0"/>
        <v>60000</v>
      </c>
      <c r="F20" s="202">
        <f t="shared" si="1"/>
        <v>0.28472173517010396</v>
      </c>
    </row>
    <row r="21" spans="1:6" ht="12.75">
      <c r="A21" s="7" t="s">
        <v>77</v>
      </c>
      <c r="B21" s="189">
        <v>38176.76</v>
      </c>
      <c r="C21" s="189">
        <v>37592.01</v>
      </c>
      <c r="D21" s="189">
        <v>39165.16</v>
      </c>
      <c r="E21" s="189">
        <f t="shared" si="0"/>
        <v>114933.93000000001</v>
      </c>
      <c r="F21" s="202">
        <f t="shared" si="1"/>
        <v>0.5454031329919878</v>
      </c>
    </row>
    <row r="22" spans="1:6" ht="12.75">
      <c r="A22" s="7" t="s">
        <v>463</v>
      </c>
      <c r="B22" s="189"/>
      <c r="C22" s="189"/>
      <c r="D22" s="189">
        <v>1644</v>
      </c>
      <c r="E22" s="189">
        <f t="shared" si="0"/>
        <v>1644</v>
      </c>
      <c r="F22" s="202">
        <f t="shared" si="1"/>
        <v>0.007801375543660849</v>
      </c>
    </row>
    <row r="23" spans="1:6" ht="12.75">
      <c r="A23" s="7" t="s">
        <v>78</v>
      </c>
      <c r="B23" s="189">
        <v>183885</v>
      </c>
      <c r="C23" s="189">
        <v>81247.5</v>
      </c>
      <c r="D23" s="189">
        <v>256819.84</v>
      </c>
      <c r="E23" s="189">
        <f t="shared" si="0"/>
        <v>521952.33999999997</v>
      </c>
      <c r="F23" s="202">
        <f t="shared" si="1"/>
        <v>2.476852932014934</v>
      </c>
    </row>
    <row r="24" spans="1:6" ht="12.75">
      <c r="A24" s="7" t="s">
        <v>363</v>
      </c>
      <c r="B24" s="189">
        <v>16689.95</v>
      </c>
      <c r="C24" s="189">
        <v>117300</v>
      </c>
      <c r="D24" s="189">
        <v>24700</v>
      </c>
      <c r="E24" s="189">
        <f t="shared" si="0"/>
        <v>158689.95</v>
      </c>
      <c r="F24" s="202">
        <f t="shared" si="1"/>
        <v>0.753041298634284</v>
      </c>
    </row>
    <row r="25" spans="1:6" ht="12.75">
      <c r="A25" s="7" t="s">
        <v>376</v>
      </c>
      <c r="B25" s="189">
        <v>32000</v>
      </c>
      <c r="C25" s="189">
        <v>156000</v>
      </c>
      <c r="D25" s="189">
        <v>67900</v>
      </c>
      <c r="E25" s="189">
        <f t="shared" si="0"/>
        <v>255900</v>
      </c>
      <c r="F25" s="202">
        <f t="shared" si="1"/>
        <v>1.2143382005004935</v>
      </c>
    </row>
    <row r="26" spans="1:6" ht="12.75">
      <c r="A26" s="7" t="s">
        <v>79</v>
      </c>
      <c r="B26" s="189">
        <v>772968.69</v>
      </c>
      <c r="C26" s="189">
        <v>947223.48</v>
      </c>
      <c r="D26" s="189">
        <v>461526.54</v>
      </c>
      <c r="E26" s="189">
        <f t="shared" si="0"/>
        <v>2181718.71</v>
      </c>
      <c r="F26" s="202">
        <f t="shared" si="1"/>
        <v>10.353045612738015</v>
      </c>
    </row>
    <row r="27" spans="1:6" ht="12.75">
      <c r="A27" s="7" t="s">
        <v>80</v>
      </c>
      <c r="B27" s="189">
        <v>45000.51</v>
      </c>
      <c r="C27" s="189">
        <v>258191.88</v>
      </c>
      <c r="D27" s="189">
        <v>33575</v>
      </c>
      <c r="E27" s="189">
        <f t="shared" si="0"/>
        <v>336767.39</v>
      </c>
      <c r="F27" s="202">
        <f t="shared" si="1"/>
        <v>1.5980832604917856</v>
      </c>
    </row>
    <row r="28" spans="1:6" ht="12.75">
      <c r="A28" s="7" t="s">
        <v>143</v>
      </c>
      <c r="B28" s="189">
        <v>4427.5</v>
      </c>
      <c r="C28" s="189">
        <v>41182</v>
      </c>
      <c r="D28" s="189">
        <v>13938</v>
      </c>
      <c r="E28" s="189">
        <f t="shared" si="0"/>
        <v>59547.5</v>
      </c>
      <c r="F28" s="202">
        <f t="shared" si="1"/>
        <v>0.28257445875069614</v>
      </c>
    </row>
    <row r="29" spans="1:6" ht="12.75">
      <c r="A29" s="7" t="s">
        <v>167</v>
      </c>
      <c r="B29" s="189">
        <v>2300</v>
      </c>
      <c r="C29" s="189"/>
      <c r="D29" s="189">
        <v>18400</v>
      </c>
      <c r="E29" s="189">
        <f t="shared" si="0"/>
        <v>20700</v>
      </c>
      <c r="F29" s="202">
        <f t="shared" si="1"/>
        <v>0.09822899863368587</v>
      </c>
    </row>
    <row r="30" spans="1:6" ht="12.75">
      <c r="A30" s="7" t="s">
        <v>440</v>
      </c>
      <c r="B30" s="189"/>
      <c r="C30" s="189">
        <v>871</v>
      </c>
      <c r="D30" s="189"/>
      <c r="E30" s="189">
        <f>SUM(B30:D30)</f>
        <v>871</v>
      </c>
      <c r="F30" s="202">
        <f t="shared" si="1"/>
        <v>0.004133210522219343</v>
      </c>
    </row>
    <row r="31" spans="1:6" ht="12.75">
      <c r="A31" s="7" t="s">
        <v>481</v>
      </c>
      <c r="B31" s="189">
        <v>85547</v>
      </c>
      <c r="C31" s="189">
        <v>85080.38</v>
      </c>
      <c r="D31" s="189">
        <v>85702.54</v>
      </c>
      <c r="E31" s="189">
        <f>SUM(B31:D31)</f>
        <v>256329.91999999998</v>
      </c>
      <c r="F31" s="202">
        <f t="shared" si="1"/>
        <v>1.2163783266402324</v>
      </c>
    </row>
    <row r="32" spans="1:6" ht="12.75">
      <c r="A32" s="7" t="s">
        <v>81</v>
      </c>
      <c r="B32" s="189">
        <v>17056</v>
      </c>
      <c r="C32" s="189">
        <v>22538.9</v>
      </c>
      <c r="D32" s="189">
        <v>35373</v>
      </c>
      <c r="E32" s="189">
        <f t="shared" si="0"/>
        <v>74967.9</v>
      </c>
      <c r="F32" s="202">
        <f t="shared" si="1"/>
        <v>0.35574984283431393</v>
      </c>
    </row>
    <row r="33" spans="1:6" ht="12.75">
      <c r="A33" s="7" t="s">
        <v>541</v>
      </c>
      <c r="B33" s="189"/>
      <c r="C33" s="189">
        <v>743.4</v>
      </c>
      <c r="E33" s="189">
        <f>SUM(B33:D33)</f>
        <v>743.4</v>
      </c>
      <c r="F33" s="202">
        <f t="shared" si="1"/>
        <v>0.003527702298757588</v>
      </c>
    </row>
    <row r="34" spans="1:6" ht="12.75">
      <c r="A34" s="7" t="s">
        <v>421</v>
      </c>
      <c r="B34" s="189">
        <v>1045000</v>
      </c>
      <c r="C34" s="189">
        <v>47000</v>
      </c>
      <c r="D34" s="189">
        <v>1244680</v>
      </c>
      <c r="E34" s="189">
        <f>SUM(B34:D34)</f>
        <v>2336680</v>
      </c>
      <c r="F34" s="202">
        <f t="shared" si="1"/>
        <v>11.088393068954643</v>
      </c>
    </row>
    <row r="35" spans="1:7" ht="12.75">
      <c r="A35" s="7" t="s">
        <v>351</v>
      </c>
      <c r="B35" s="189">
        <v>150160.7</v>
      </c>
      <c r="C35" s="189">
        <v>153063.7</v>
      </c>
      <c r="D35" s="189">
        <v>122601.2</v>
      </c>
      <c r="E35" s="189">
        <f t="shared" si="0"/>
        <v>425825.60000000003</v>
      </c>
      <c r="F35" s="202">
        <f t="shared" si="1"/>
        <v>2.020696728530844</v>
      </c>
      <c r="G35" s="74"/>
    </row>
    <row r="36" spans="1:6" ht="12.75">
      <c r="A36" s="7" t="s">
        <v>82</v>
      </c>
      <c r="B36" s="189">
        <v>470339.7</v>
      </c>
      <c r="C36" s="189">
        <v>85466.5</v>
      </c>
      <c r="D36" s="189">
        <v>365650.55</v>
      </c>
      <c r="E36" s="189">
        <f t="shared" si="0"/>
        <v>921456.75</v>
      </c>
      <c r="F36" s="202">
        <f t="shared" si="1"/>
        <v>4.372646079070078</v>
      </c>
    </row>
    <row r="37" spans="1:6" ht="12.75">
      <c r="A37" s="7" t="s">
        <v>342</v>
      </c>
      <c r="B37" s="189">
        <v>702</v>
      </c>
      <c r="C37" s="189">
        <v>415</v>
      </c>
      <c r="D37" s="189">
        <v>10253</v>
      </c>
      <c r="E37" s="189">
        <f t="shared" si="0"/>
        <v>11370</v>
      </c>
      <c r="F37" s="202">
        <f t="shared" si="1"/>
        <v>0.05395476881473471</v>
      </c>
    </row>
    <row r="38" spans="1:6" ht="12.75">
      <c r="A38" s="7" t="s">
        <v>308</v>
      </c>
      <c r="B38" s="189">
        <v>166392.5</v>
      </c>
      <c r="C38" s="189">
        <v>106100</v>
      </c>
      <c r="D38" s="189">
        <v>-3740</v>
      </c>
      <c r="E38" s="189">
        <f>SUM(B38:D38)</f>
        <v>268752.5</v>
      </c>
      <c r="F38" s="202">
        <f t="shared" si="1"/>
        <v>1.275327968855056</v>
      </c>
    </row>
    <row r="39" spans="1:6" ht="12.75">
      <c r="A39" s="7" t="s">
        <v>441</v>
      </c>
      <c r="B39" s="189"/>
      <c r="C39" s="189">
        <v>535</v>
      </c>
      <c r="D39" s="189"/>
      <c r="E39" s="189">
        <f>SUM(B39:D39)</f>
        <v>535</v>
      </c>
      <c r="F39" s="202">
        <f t="shared" si="1"/>
        <v>0.0025387688052667607</v>
      </c>
    </row>
    <row r="40" spans="1:6" ht="12.75">
      <c r="A40" s="7" t="s">
        <v>83</v>
      </c>
      <c r="B40" s="189">
        <v>163600</v>
      </c>
      <c r="C40" s="189">
        <v>702402.26</v>
      </c>
      <c r="D40" s="189">
        <v>41001.65</v>
      </c>
      <c r="E40" s="189">
        <f t="shared" si="0"/>
        <v>907003.91</v>
      </c>
      <c r="F40" s="202">
        <f t="shared" si="1"/>
        <v>4.304062117687814</v>
      </c>
    </row>
    <row r="41" spans="1:6" ht="12.75">
      <c r="A41" s="7" t="s">
        <v>454</v>
      </c>
      <c r="B41" s="189">
        <v>126329</v>
      </c>
      <c r="C41" s="189">
        <v>670624</v>
      </c>
      <c r="D41" s="189"/>
      <c r="E41" s="189">
        <f>SUM(B41:D41)</f>
        <v>796953</v>
      </c>
      <c r="F41" s="202">
        <f t="shared" si="1"/>
        <v>3.7818306834836646</v>
      </c>
    </row>
    <row r="42" spans="1:6" ht="12.75">
      <c r="A42" s="7" t="s">
        <v>427</v>
      </c>
      <c r="B42" s="189">
        <v>105156</v>
      </c>
      <c r="C42" s="189"/>
      <c r="D42" s="189"/>
      <c r="E42" s="189">
        <f>SUM(B42:D42)</f>
        <v>105156</v>
      </c>
      <c r="F42" s="202">
        <f t="shared" si="1"/>
        <v>0.4990033130591242</v>
      </c>
    </row>
    <row r="43" spans="1:6" ht="12.75">
      <c r="A43" s="7" t="s">
        <v>468</v>
      </c>
      <c r="B43" s="189"/>
      <c r="C43" s="189">
        <v>61592</v>
      </c>
      <c r="D43" s="189">
        <v>112125</v>
      </c>
      <c r="E43" s="189">
        <f>SUM(B43:D43)</f>
        <v>173717</v>
      </c>
      <c r="F43" s="202">
        <f t="shared" si="1"/>
        <v>0.8243500944757491</v>
      </c>
    </row>
    <row r="44" spans="1:6" ht="12.75">
      <c r="A44" s="7" t="s">
        <v>258</v>
      </c>
      <c r="B44" s="189">
        <v>5918.22</v>
      </c>
      <c r="C44" s="189">
        <v>5022.38</v>
      </c>
      <c r="D44" s="189">
        <v>2883.16</v>
      </c>
      <c r="E44" s="189">
        <f t="shared" si="0"/>
        <v>13823.76</v>
      </c>
      <c r="F44" s="202">
        <f t="shared" si="1"/>
        <v>0.06559874889625128</v>
      </c>
    </row>
    <row r="45" spans="1:6" ht="12.75">
      <c r="A45" s="7" t="s">
        <v>577</v>
      </c>
      <c r="B45" s="189"/>
      <c r="C45" s="189"/>
      <c r="D45" s="189">
        <v>692428.3</v>
      </c>
      <c r="E45" s="189">
        <f>SUM(B45:D45)</f>
        <v>692428.3</v>
      </c>
      <c r="F45" s="202">
        <f t="shared" si="1"/>
        <v>3.285823117614756</v>
      </c>
    </row>
    <row r="46" spans="1:6" ht="12.75">
      <c r="A46" s="7" t="s">
        <v>380</v>
      </c>
      <c r="B46" s="189"/>
      <c r="C46" s="189"/>
      <c r="D46" s="189">
        <v>2300</v>
      </c>
      <c r="E46" s="189">
        <f>SUM(B46:D46)</f>
        <v>2300</v>
      </c>
      <c r="F46" s="202">
        <f t="shared" si="1"/>
        <v>0.010914333181520653</v>
      </c>
    </row>
    <row r="47" spans="1:6" ht="12.75">
      <c r="A47" s="7"/>
      <c r="B47" s="189"/>
      <c r="C47" s="189"/>
      <c r="E47" s="189"/>
      <c r="F47" s="202"/>
    </row>
    <row r="48" spans="1:6" ht="13.5" thickBot="1">
      <c r="A48" s="3" t="s">
        <v>126</v>
      </c>
      <c r="B48" s="200">
        <f>SUM(B13:B46)</f>
        <v>8238735.239999999</v>
      </c>
      <c r="C48" s="200">
        <f>SUM(C13:C46)</f>
        <v>6417012.83</v>
      </c>
      <c r="D48" s="200">
        <f>SUM(D13:D46)</f>
        <v>6417458.71</v>
      </c>
      <c r="E48" s="200">
        <f>SUM(E13:E46)</f>
        <v>21073206.78</v>
      </c>
      <c r="F48" s="201">
        <f>SUM(F13:F46)</f>
        <v>100</v>
      </c>
    </row>
    <row r="49" spans="1:6" ht="13.5" thickTop="1">
      <c r="A49" s="19"/>
      <c r="B49" s="135"/>
      <c r="C49" s="135"/>
      <c r="D49" s="135"/>
      <c r="E49" s="135"/>
      <c r="F49" s="20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6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4" sqref="A4:F4"/>
    </sheetView>
  </sheetViews>
  <sheetFormatPr defaultColWidth="9.140625" defaultRowHeight="12.75"/>
  <cols>
    <col min="1" max="1" width="33.7109375" style="2" customWidth="1"/>
    <col min="2" max="5" width="12.7109375" style="25" customWidth="1"/>
    <col min="6" max="6" width="6.8515625" style="2" bestFit="1" customWidth="1"/>
    <col min="7" max="7" width="3.57421875" style="2" customWidth="1"/>
    <col min="8" max="16384" width="11.421875" style="2" customWidth="1"/>
  </cols>
  <sheetData>
    <row r="1" spans="5:6" ht="12.75">
      <c r="E1" s="246" t="s">
        <v>16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586</v>
      </c>
      <c r="B4" s="245"/>
      <c r="C4" s="245"/>
      <c r="D4" s="245"/>
      <c r="E4" s="245"/>
      <c r="F4" s="245"/>
    </row>
    <row r="5" spans="1:7" ht="15">
      <c r="A5" s="245" t="s">
        <v>490</v>
      </c>
      <c r="B5" s="245"/>
      <c r="C5" s="245"/>
      <c r="D5" s="245"/>
      <c r="E5" s="245"/>
      <c r="F5" s="245"/>
      <c r="G5" s="41"/>
    </row>
    <row r="6" spans="1:7" ht="15">
      <c r="A6" s="105"/>
      <c r="B6" s="105"/>
      <c r="C6" s="105"/>
      <c r="D6" s="105"/>
      <c r="E6" s="105"/>
      <c r="F6" s="105"/>
      <c r="G6" s="41"/>
    </row>
    <row r="7" spans="1:7" ht="15">
      <c r="A7" s="105"/>
      <c r="B7" s="105"/>
      <c r="C7" s="105"/>
      <c r="D7" s="105"/>
      <c r="E7" s="105"/>
      <c r="F7" s="105"/>
      <c r="G7" s="41"/>
    </row>
    <row r="8" spans="1:7" ht="15">
      <c r="A8" s="105"/>
      <c r="B8" s="105"/>
      <c r="C8" s="105"/>
      <c r="D8" s="105"/>
      <c r="E8" s="105"/>
      <c r="F8" s="105"/>
      <c r="G8" s="41"/>
    </row>
    <row r="9" spans="1:6" ht="8.25" customHeight="1">
      <c r="A9" s="19"/>
      <c r="B9" s="19"/>
      <c r="C9" s="19"/>
      <c r="D9" s="19"/>
      <c r="E9" s="19"/>
      <c r="F9" s="19"/>
    </row>
    <row r="10" spans="1:6" ht="12.75">
      <c r="A10" s="83"/>
      <c r="B10" s="83"/>
      <c r="C10" s="83"/>
      <c r="D10" s="83"/>
      <c r="E10" s="83"/>
      <c r="F10" s="3"/>
    </row>
    <row r="11" spans="1:6" ht="16.5" customHeight="1">
      <c r="A11" s="108" t="s">
        <v>19</v>
      </c>
      <c r="B11" s="109" t="s">
        <v>487</v>
      </c>
      <c r="C11" s="109" t="s">
        <v>488</v>
      </c>
      <c r="D11" s="109" t="s">
        <v>489</v>
      </c>
      <c r="E11" s="108" t="s">
        <v>20</v>
      </c>
      <c r="F11" s="98" t="s">
        <v>21</v>
      </c>
    </row>
    <row r="12" spans="1:6" ht="12.75">
      <c r="A12" s="83"/>
      <c r="B12" s="83"/>
      <c r="C12" s="83"/>
      <c r="D12" s="83"/>
      <c r="E12" s="83"/>
      <c r="F12" s="3"/>
    </row>
    <row r="13" ht="6" customHeight="1"/>
    <row r="14" spans="1:7" ht="18" customHeight="1">
      <c r="A14" s="7" t="s">
        <v>219</v>
      </c>
      <c r="B14" s="189">
        <f>'G.C.Op'!B154</f>
        <v>21398915.04</v>
      </c>
      <c r="C14" s="189">
        <f>'G.C.Op'!C154</f>
        <v>46247867</v>
      </c>
      <c r="D14" s="189">
        <f>'G.C.Op'!D154</f>
        <v>16941176.46</v>
      </c>
      <c r="E14" s="189">
        <f>SUM(B14:D14)</f>
        <v>84587958.5</v>
      </c>
      <c r="F14" s="202">
        <f>(E14/$E$20)*100</f>
        <v>57.9500803786945</v>
      </c>
      <c r="G14" s="76"/>
    </row>
    <row r="15" spans="1:7" ht="18" customHeight="1">
      <c r="A15" s="7" t="s">
        <v>158</v>
      </c>
      <c r="B15" s="189">
        <f>'G.C.Viat'!B56</f>
        <v>164269.36</v>
      </c>
      <c r="C15" s="189">
        <f>'G.C.Viat'!C56</f>
        <v>30231.17</v>
      </c>
      <c r="D15" s="189">
        <f>'G.C.Viat'!D56</f>
        <v>14823</v>
      </c>
      <c r="E15" s="189">
        <f>SUM(B15:D15)</f>
        <v>209323.52999999997</v>
      </c>
      <c r="F15" s="202">
        <f>(E15/$E$20)*100</f>
        <v>0.14340475410163808</v>
      </c>
      <c r="G15" s="76"/>
    </row>
    <row r="16" spans="1:7" ht="18" customHeight="1">
      <c r="A16" s="7" t="s">
        <v>84</v>
      </c>
      <c r="B16" s="189">
        <f>'G.C.Ing.Prop'!B146</f>
        <v>10171028.47</v>
      </c>
      <c r="C16" s="189">
        <f>'G.C.Ing.Prop'!C146</f>
        <v>9909901.79</v>
      </c>
      <c r="D16" s="189">
        <f>'G.C.Ing.Prop'!D146</f>
        <v>11235611.310000002</v>
      </c>
      <c r="E16" s="189">
        <f>SUM(B16:D16)</f>
        <v>31316541.57</v>
      </c>
      <c r="F16" s="202">
        <f>(E16/$E$20)*100</f>
        <v>21.454544279659235</v>
      </c>
      <c r="G16" s="76"/>
    </row>
    <row r="17" spans="1:7" ht="18" customHeight="1">
      <c r="A17" s="7" t="s">
        <v>159</v>
      </c>
      <c r="B17" s="189">
        <f>'G.C.Donat'!B31</f>
        <v>499228.15</v>
      </c>
      <c r="C17" s="189">
        <f>'G.C.Donat'!C31</f>
        <v>966905.23</v>
      </c>
      <c r="D17" s="189">
        <f>'G.C.Donat'!D31</f>
        <v>876323.5</v>
      </c>
      <c r="E17" s="189">
        <f>SUM(B17:D17)</f>
        <v>2342456.88</v>
      </c>
      <c r="F17" s="202">
        <f>(E17/$E$20)*100</f>
        <v>1.6047859161848188</v>
      </c>
      <c r="G17" s="76"/>
    </row>
    <row r="18" spans="1:7" ht="18" customHeight="1">
      <c r="A18" s="7" t="s">
        <v>220</v>
      </c>
      <c r="B18" s="189">
        <f>'G.C.Etiq'!B20</f>
        <v>10620838.82</v>
      </c>
      <c r="C18" s="189">
        <f>'G.C.Etiq'!C20</f>
        <v>10760062.74</v>
      </c>
      <c r="D18" s="189">
        <f>'G.C.Etiq'!D20</f>
        <v>6129757</v>
      </c>
      <c r="E18" s="189">
        <f>SUM(B18:D18)</f>
        <v>27510658.560000002</v>
      </c>
      <c r="F18" s="202">
        <f>(E18/$E$20)*100</f>
        <v>18.847184671359816</v>
      </c>
      <c r="G18" s="76"/>
    </row>
    <row r="19" spans="1:7" ht="12.75">
      <c r="A19" s="7"/>
      <c r="B19" s="189"/>
      <c r="C19" s="189"/>
      <c r="D19" s="189"/>
      <c r="E19" s="189"/>
      <c r="F19" s="202"/>
      <c r="G19" s="76"/>
    </row>
    <row r="20" spans="1:7" ht="19.5" customHeight="1" thickBot="1">
      <c r="A20" s="3" t="s">
        <v>126</v>
      </c>
      <c r="B20" s="200">
        <f>SUM(B14:B18)</f>
        <v>42854279.839999996</v>
      </c>
      <c r="C20" s="200">
        <f>SUM(C14:C18)</f>
        <v>67914967.92999999</v>
      </c>
      <c r="D20" s="200">
        <f>SUM(D14:D18)</f>
        <v>35197691.27</v>
      </c>
      <c r="E20" s="200">
        <f>SUM(E14:E18)</f>
        <v>145966939.04</v>
      </c>
      <c r="F20" s="201">
        <f>SUM(F14:F18)</f>
        <v>100.00000000000001</v>
      </c>
      <c r="G20" s="76" t="s">
        <v>23</v>
      </c>
    </row>
    <row r="21" spans="1:7" ht="13.5" thickTop="1">
      <c r="A21" s="19"/>
      <c r="B21" s="135"/>
      <c r="C21" s="135"/>
      <c r="D21" s="135"/>
      <c r="E21" s="135"/>
      <c r="F21" s="205"/>
      <c r="G21" s="75"/>
    </row>
    <row r="36" ht="12.75">
      <c r="A36" s="10"/>
    </row>
    <row r="39" ht="12.75">
      <c r="A39" s="10" t="s">
        <v>59</v>
      </c>
    </row>
    <row r="40" ht="12.75">
      <c r="A40" s="77"/>
    </row>
    <row r="41" ht="12.75">
      <c r="A41" s="10" t="s">
        <v>398</v>
      </c>
    </row>
    <row r="54" ht="12.75">
      <c r="A54" s="10"/>
    </row>
    <row r="55" spans="1:7" ht="12.75">
      <c r="A55" s="250"/>
      <c r="B55" s="251"/>
      <c r="C55" s="251"/>
      <c r="D55" s="251"/>
      <c r="E55" s="251"/>
      <c r="F55" s="251"/>
      <c r="G55" s="251"/>
    </row>
  </sheetData>
  <mergeCells count="6">
    <mergeCell ref="A55:G55"/>
    <mergeCell ref="A5:F5"/>
    <mergeCell ref="E1:F1"/>
    <mergeCell ref="A2:F2"/>
    <mergeCell ref="A3:F3"/>
    <mergeCell ref="A4:F4"/>
  </mergeCells>
  <printOptions/>
  <pageMargins left="0.984251968503937" right="0.5905511811023623" top="0.58" bottom="0.984251968503937" header="0" footer="0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66">
      <selection activeCell="A1" sqref="A1"/>
    </sheetView>
  </sheetViews>
  <sheetFormatPr defaultColWidth="9.140625" defaultRowHeight="12.75"/>
  <cols>
    <col min="1" max="1" width="42.57421875" style="2" customWidth="1"/>
    <col min="2" max="5" width="11.140625" style="25" bestFit="1" customWidth="1"/>
    <col min="6" max="6" width="6.57421875" style="2" bestFit="1" customWidth="1"/>
    <col min="7" max="7" width="2.7109375" style="2" customWidth="1"/>
    <col min="8" max="16384" width="11.421875" style="2" customWidth="1"/>
  </cols>
  <sheetData>
    <row r="1" spans="5:6" ht="12.75">
      <c r="E1" s="246" t="s">
        <v>152</v>
      </c>
      <c r="F1" s="246"/>
    </row>
    <row r="2" spans="5:6" ht="12.75">
      <c r="E2" s="252" t="s">
        <v>431</v>
      </c>
      <c r="F2" s="246"/>
    </row>
    <row r="3" spans="1:6" ht="15">
      <c r="A3" s="245" t="s">
        <v>403</v>
      </c>
      <c r="B3" s="245"/>
      <c r="C3" s="245"/>
      <c r="D3" s="245"/>
      <c r="E3" s="245"/>
      <c r="F3" s="245"/>
    </row>
    <row r="4" spans="1:6" ht="15">
      <c r="A4" s="247" t="s">
        <v>585</v>
      </c>
      <c r="B4" s="247"/>
      <c r="C4" s="247"/>
      <c r="D4" s="247"/>
      <c r="E4" s="247"/>
      <c r="F4" s="247"/>
    </row>
    <row r="5" spans="1:6" ht="15">
      <c r="A5" s="245" t="s">
        <v>413</v>
      </c>
      <c r="B5" s="245"/>
      <c r="C5" s="245"/>
      <c r="D5" s="245"/>
      <c r="E5" s="245"/>
      <c r="F5" s="245"/>
    </row>
    <row r="6" spans="1:7" ht="15">
      <c r="A6" s="245" t="s">
        <v>490</v>
      </c>
      <c r="B6" s="245"/>
      <c r="C6" s="245"/>
      <c r="D6" s="245"/>
      <c r="E6" s="245"/>
      <c r="F6" s="245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3"/>
      <c r="B8" s="83"/>
      <c r="C8" s="83"/>
      <c r="D8" s="83"/>
      <c r="E8" s="83"/>
      <c r="F8" s="3"/>
    </row>
    <row r="9" spans="1:6" ht="12.75">
      <c r="A9" s="108" t="s">
        <v>19</v>
      </c>
      <c r="B9" s="109" t="s">
        <v>487</v>
      </c>
      <c r="C9" s="109" t="s">
        <v>488</v>
      </c>
      <c r="D9" s="109" t="s">
        <v>489</v>
      </c>
      <c r="E9" s="108" t="s">
        <v>20</v>
      </c>
      <c r="F9" s="98" t="s">
        <v>21</v>
      </c>
    </row>
    <row r="10" spans="1:6" ht="12.75">
      <c r="A10" s="83"/>
      <c r="B10" s="83"/>
      <c r="C10" s="83"/>
      <c r="D10" s="83"/>
      <c r="E10" s="83"/>
      <c r="F10" s="3"/>
    </row>
    <row r="11" ht="6" customHeight="1"/>
    <row r="12" spans="1:6" ht="12" customHeight="1">
      <c r="A12" s="2" t="s">
        <v>85</v>
      </c>
      <c r="B12" s="160">
        <v>161466.23</v>
      </c>
      <c r="C12" s="160">
        <v>221924.73</v>
      </c>
      <c r="D12" s="160">
        <v>87325.2</v>
      </c>
      <c r="E12" s="160">
        <f aca="true" t="shared" si="0" ref="E12:E45">SUM(B12:D12)</f>
        <v>470716.16000000003</v>
      </c>
      <c r="F12" s="161">
        <f aca="true" t="shared" si="1" ref="F12:F56">(E12/$E$154*100)</f>
        <v>0.5564812868725282</v>
      </c>
    </row>
    <row r="13" spans="1:6" ht="12" customHeight="1">
      <c r="A13" s="2" t="s">
        <v>422</v>
      </c>
      <c r="B13" s="206">
        <v>180000</v>
      </c>
      <c r="C13" s="206">
        <v>110000</v>
      </c>
      <c r="D13" s="206">
        <v>50000</v>
      </c>
      <c r="E13" s="160">
        <f t="shared" si="0"/>
        <v>340000</v>
      </c>
      <c r="F13" s="161">
        <f t="shared" si="1"/>
        <v>0.401948464094922</v>
      </c>
    </row>
    <row r="14" spans="1:6" ht="12" customHeight="1">
      <c r="A14" s="2" t="s">
        <v>221</v>
      </c>
      <c r="B14" s="206">
        <v>16480</v>
      </c>
      <c r="C14" s="206">
        <v>56818.83</v>
      </c>
      <c r="D14" s="206">
        <v>38000</v>
      </c>
      <c r="E14" s="160">
        <f t="shared" si="0"/>
        <v>111298.83</v>
      </c>
      <c r="F14" s="161">
        <f t="shared" si="1"/>
        <v>0.13157762874724066</v>
      </c>
    </row>
    <row r="15" spans="1:6" ht="12" customHeight="1">
      <c r="A15" s="2" t="s">
        <v>423</v>
      </c>
      <c r="B15" s="206">
        <f>259679.37-111870</f>
        <v>147809.37</v>
      </c>
      <c r="C15" s="206">
        <v>62000</v>
      </c>
      <c r="D15" s="206">
        <v>120000</v>
      </c>
      <c r="E15" s="160">
        <f t="shared" si="0"/>
        <v>329809.37</v>
      </c>
      <c r="F15" s="161">
        <f t="shared" si="1"/>
        <v>0.38990108739886425</v>
      </c>
    </row>
    <row r="16" spans="1:6" ht="12" customHeight="1">
      <c r="A16" s="2" t="s">
        <v>214</v>
      </c>
      <c r="B16" s="206">
        <v>139244</v>
      </c>
      <c r="C16" s="206">
        <v>62200</v>
      </c>
      <c r="D16" s="206">
        <v>86396.61</v>
      </c>
      <c r="E16" s="160">
        <f t="shared" si="0"/>
        <v>287840.61</v>
      </c>
      <c r="F16" s="161">
        <f t="shared" si="1"/>
        <v>0.34028556204013366</v>
      </c>
    </row>
    <row r="17" spans="1:6" ht="12" customHeight="1">
      <c r="A17" s="2" t="s">
        <v>453</v>
      </c>
      <c r="B17" s="206">
        <v>13552.88</v>
      </c>
      <c r="C17" s="206">
        <v>10000</v>
      </c>
      <c r="D17" s="206">
        <v>15387.73</v>
      </c>
      <c r="E17" s="160">
        <f t="shared" si="0"/>
        <v>38940.61</v>
      </c>
      <c r="F17" s="161">
        <f t="shared" si="1"/>
        <v>0.04603564229535106</v>
      </c>
    </row>
    <row r="18" spans="1:6" ht="12" customHeight="1">
      <c r="A18" s="2" t="s">
        <v>535</v>
      </c>
      <c r="B18" s="206"/>
      <c r="C18" s="206">
        <v>4000</v>
      </c>
      <c r="D18" s="206">
        <v>20000</v>
      </c>
      <c r="E18" s="160">
        <f>SUM(B18:D18)</f>
        <v>24000</v>
      </c>
      <c r="F18" s="161">
        <f t="shared" si="1"/>
        <v>0.02837283275964155</v>
      </c>
    </row>
    <row r="19" spans="1:6" ht="12" customHeight="1">
      <c r="A19" s="2" t="s">
        <v>86</v>
      </c>
      <c r="B19" s="206">
        <v>14500</v>
      </c>
      <c r="C19" s="206">
        <v>42000</v>
      </c>
      <c r="D19" s="206">
        <v>40404.63</v>
      </c>
      <c r="E19" s="160">
        <f t="shared" si="0"/>
        <v>96904.63</v>
      </c>
      <c r="F19" s="161">
        <f t="shared" si="1"/>
        <v>0.11456078585937265</v>
      </c>
    </row>
    <row r="20" spans="1:6" ht="12" customHeight="1">
      <c r="A20" s="8" t="s">
        <v>465</v>
      </c>
      <c r="B20" s="206">
        <v>17000</v>
      </c>
      <c r="C20" s="206">
        <v>32000</v>
      </c>
      <c r="D20" s="206">
        <v>17000</v>
      </c>
      <c r="E20" s="160">
        <f t="shared" si="0"/>
        <v>66000</v>
      </c>
      <c r="F20" s="161">
        <f t="shared" si="1"/>
        <v>0.07802529008901427</v>
      </c>
    </row>
    <row r="21" spans="1:6" ht="12" customHeight="1">
      <c r="A21" s="8" t="s">
        <v>277</v>
      </c>
      <c r="B21" s="206">
        <v>5000</v>
      </c>
      <c r="C21" s="206">
        <v>5000</v>
      </c>
      <c r="D21" s="206">
        <v>5000</v>
      </c>
      <c r="E21" s="160">
        <f t="shared" si="0"/>
        <v>15000</v>
      </c>
      <c r="F21" s="161">
        <f t="shared" si="1"/>
        <v>0.01773302047477597</v>
      </c>
    </row>
    <row r="22" spans="1:6" ht="12" customHeight="1">
      <c r="A22" s="8" t="s">
        <v>87</v>
      </c>
      <c r="B22" s="206">
        <v>7000</v>
      </c>
      <c r="C22" s="206">
        <v>25056.52</v>
      </c>
      <c r="D22" s="206">
        <v>7000</v>
      </c>
      <c r="E22" s="160">
        <f t="shared" si="0"/>
        <v>39056.520000000004</v>
      </c>
      <c r="F22" s="161">
        <f t="shared" si="1"/>
        <v>0.046172671255566476</v>
      </c>
    </row>
    <row r="23" spans="1:6" ht="12" customHeight="1">
      <c r="A23" s="8" t="s">
        <v>88</v>
      </c>
      <c r="B23" s="206">
        <v>10000</v>
      </c>
      <c r="C23" s="206">
        <v>25000</v>
      </c>
      <c r="D23" s="206">
        <v>10000</v>
      </c>
      <c r="E23" s="160">
        <f t="shared" si="0"/>
        <v>45000</v>
      </c>
      <c r="F23" s="161">
        <f t="shared" si="1"/>
        <v>0.053199061424327905</v>
      </c>
    </row>
    <row r="24" spans="1:6" ht="12" customHeight="1">
      <c r="A24" s="8" t="s">
        <v>578</v>
      </c>
      <c r="B24" s="2"/>
      <c r="C24" s="206"/>
      <c r="D24" s="206">
        <v>5000</v>
      </c>
      <c r="E24" s="160">
        <f>SUM(C24:D24)</f>
        <v>5000</v>
      </c>
      <c r="F24" s="161">
        <f t="shared" si="1"/>
        <v>0.005911006824925323</v>
      </c>
    </row>
    <row r="25" spans="1:6" ht="12" customHeight="1">
      <c r="A25" s="8" t="s">
        <v>259</v>
      </c>
      <c r="B25" s="206">
        <v>120883</v>
      </c>
      <c r="C25" s="206">
        <v>37500</v>
      </c>
      <c r="D25" s="206">
        <v>37500</v>
      </c>
      <c r="E25" s="160">
        <f t="shared" si="0"/>
        <v>195883</v>
      </c>
      <c r="F25" s="161">
        <f t="shared" si="1"/>
        <v>0.23157314997736944</v>
      </c>
    </row>
    <row r="26" spans="1:6" ht="12" customHeight="1">
      <c r="A26" s="8" t="s">
        <v>222</v>
      </c>
      <c r="B26" s="206">
        <v>34000</v>
      </c>
      <c r="C26" s="206">
        <v>36200</v>
      </c>
      <c r="D26" s="206">
        <v>45500</v>
      </c>
      <c r="E26" s="160">
        <f t="shared" si="0"/>
        <v>115700</v>
      </c>
      <c r="F26" s="161">
        <f t="shared" si="1"/>
        <v>0.13678069792877198</v>
      </c>
    </row>
    <row r="27" spans="1:6" ht="12" customHeight="1">
      <c r="A27" s="8" t="s">
        <v>353</v>
      </c>
      <c r="B27" s="206">
        <v>5849.99</v>
      </c>
      <c r="C27" s="206">
        <v>1811</v>
      </c>
      <c r="D27" s="206">
        <v>1300</v>
      </c>
      <c r="E27" s="160">
        <f t="shared" si="0"/>
        <v>8960.99</v>
      </c>
      <c r="F27" s="161">
        <f t="shared" si="1"/>
        <v>0.010593694609617513</v>
      </c>
    </row>
    <row r="28" spans="1:6" ht="12" customHeight="1">
      <c r="A28" s="8" t="s">
        <v>181</v>
      </c>
      <c r="B28" s="206">
        <v>97935</v>
      </c>
      <c r="C28" s="206">
        <v>140096.5</v>
      </c>
      <c r="D28" s="206">
        <v>140060</v>
      </c>
      <c r="E28" s="160">
        <f t="shared" si="0"/>
        <v>378091.5</v>
      </c>
      <c r="F28" s="161">
        <f t="shared" si="1"/>
        <v>0.44698028738925055</v>
      </c>
    </row>
    <row r="29" spans="1:6" ht="12" customHeight="1">
      <c r="A29" s="8" t="s">
        <v>89</v>
      </c>
      <c r="B29" s="206">
        <v>718281.5</v>
      </c>
      <c r="C29" s="206">
        <v>399004.87</v>
      </c>
      <c r="D29" s="206">
        <v>755574.23</v>
      </c>
      <c r="E29" s="160">
        <f t="shared" si="0"/>
        <v>1872860.6</v>
      </c>
      <c r="F29" s="161">
        <f t="shared" si="1"/>
        <v>2.2140983577467472</v>
      </c>
    </row>
    <row r="30" spans="1:6" ht="12" customHeight="1">
      <c r="A30" s="8" t="s">
        <v>90</v>
      </c>
      <c r="B30" s="206">
        <v>5000</v>
      </c>
      <c r="C30" s="206">
        <v>15000</v>
      </c>
      <c r="D30" s="206">
        <f>5000+8456</f>
        <v>13456</v>
      </c>
      <c r="E30" s="160">
        <f t="shared" si="0"/>
        <v>33456</v>
      </c>
      <c r="F30" s="161">
        <f t="shared" si="1"/>
        <v>0.03955172886694032</v>
      </c>
    </row>
    <row r="31" spans="1:6" ht="12" customHeight="1">
      <c r="A31" s="2" t="s">
        <v>354</v>
      </c>
      <c r="B31" s="206"/>
      <c r="C31" s="206">
        <v>15000</v>
      </c>
      <c r="D31" s="206">
        <v>15000</v>
      </c>
      <c r="E31" s="160">
        <f t="shared" si="0"/>
        <v>30000</v>
      </c>
      <c r="F31" s="161">
        <f t="shared" si="1"/>
        <v>0.03546604094955194</v>
      </c>
    </row>
    <row r="32" spans="1:6" ht="12" customHeight="1">
      <c r="A32" s="8" t="s">
        <v>448</v>
      </c>
      <c r="B32" s="206">
        <v>6200</v>
      </c>
      <c r="C32" s="206">
        <v>6200</v>
      </c>
      <c r="D32" s="206">
        <f>5000</f>
        <v>5000</v>
      </c>
      <c r="E32" s="160">
        <f>SUM(B32:D32)</f>
        <v>17400</v>
      </c>
      <c r="F32" s="161">
        <f t="shared" si="1"/>
        <v>0.020570303750740124</v>
      </c>
    </row>
    <row r="33" spans="1:7" ht="12" customHeight="1">
      <c r="A33" s="2" t="s">
        <v>198</v>
      </c>
      <c r="B33" s="206">
        <v>46720</v>
      </c>
      <c r="C33" s="206">
        <v>20000</v>
      </c>
      <c r="D33" s="206">
        <v>20000</v>
      </c>
      <c r="E33" s="160">
        <f t="shared" si="0"/>
        <v>86720</v>
      </c>
      <c r="F33" s="161">
        <f t="shared" si="1"/>
        <v>0.10252050237150481</v>
      </c>
      <c r="G33" s="10"/>
    </row>
    <row r="34" spans="1:6" ht="12" customHeight="1">
      <c r="A34" s="2" t="s">
        <v>224</v>
      </c>
      <c r="B34" s="206">
        <v>7000</v>
      </c>
      <c r="C34" s="206">
        <v>7000</v>
      </c>
      <c r="D34" s="206">
        <v>7000</v>
      </c>
      <c r="E34" s="160">
        <f t="shared" si="0"/>
        <v>21000</v>
      </c>
      <c r="F34" s="161">
        <f t="shared" si="1"/>
        <v>0.02482622866468636</v>
      </c>
    </row>
    <row r="35" spans="1:6" ht="12" customHeight="1">
      <c r="A35" s="2" t="s">
        <v>225</v>
      </c>
      <c r="B35" s="206">
        <v>95764.66</v>
      </c>
      <c r="C35" s="206">
        <v>160671.45</v>
      </c>
      <c r="D35" s="206">
        <v>15000</v>
      </c>
      <c r="E35" s="160">
        <f t="shared" si="0"/>
        <v>271436.11</v>
      </c>
      <c r="F35" s="161">
        <f t="shared" si="1"/>
        <v>0.3208921397482361</v>
      </c>
    </row>
    <row r="36" spans="1:6" ht="12" customHeight="1">
      <c r="A36" s="2" t="s">
        <v>437</v>
      </c>
      <c r="B36" s="206">
        <v>3000</v>
      </c>
      <c r="C36" s="206">
        <v>3000</v>
      </c>
      <c r="D36" s="206">
        <v>3000</v>
      </c>
      <c r="E36" s="160">
        <f>SUM(B36:D36)</f>
        <v>9000</v>
      </c>
      <c r="F36" s="161">
        <f t="shared" si="1"/>
        <v>0.010639812284865581</v>
      </c>
    </row>
    <row r="37" spans="1:6" ht="12" customHeight="1">
      <c r="A37" s="2" t="s">
        <v>104</v>
      </c>
      <c r="B37" s="206">
        <v>16688.53</v>
      </c>
      <c r="C37" s="206">
        <v>17500</v>
      </c>
      <c r="D37" s="206">
        <v>8865.05</v>
      </c>
      <c r="E37" s="160">
        <f t="shared" si="0"/>
        <v>43053.58</v>
      </c>
      <c r="F37" s="161">
        <f t="shared" si="1"/>
        <v>0.05089800104349368</v>
      </c>
    </row>
    <row r="38" spans="1:6" ht="12" customHeight="1">
      <c r="A38" s="2" t="s">
        <v>216</v>
      </c>
      <c r="B38" s="189"/>
      <c r="C38" s="189">
        <v>19392</v>
      </c>
      <c r="D38" s="189"/>
      <c r="E38" s="160">
        <f t="shared" si="0"/>
        <v>19392</v>
      </c>
      <c r="F38" s="161">
        <f t="shared" si="1"/>
        <v>0.022925248869790374</v>
      </c>
    </row>
    <row r="39" spans="1:6" ht="12" customHeight="1">
      <c r="A39" s="2" t="s">
        <v>382</v>
      </c>
      <c r="B39" s="189">
        <v>8529.2</v>
      </c>
      <c r="C39" s="189">
        <v>5000</v>
      </c>
      <c r="D39" s="189"/>
      <c r="E39" s="160">
        <f>SUM(B39:D39)</f>
        <v>13529.2</v>
      </c>
      <c r="F39" s="161">
        <f t="shared" si="1"/>
        <v>0.015994238707155935</v>
      </c>
    </row>
    <row r="40" spans="1:6" ht="12" customHeight="1">
      <c r="A40" s="2" t="s">
        <v>252</v>
      </c>
      <c r="B40" s="189">
        <v>18150</v>
      </c>
      <c r="C40" s="189">
        <v>32500</v>
      </c>
      <c r="D40" s="189">
        <v>17500</v>
      </c>
      <c r="E40" s="160">
        <f t="shared" si="0"/>
        <v>68150</v>
      </c>
      <c r="F40" s="161">
        <f t="shared" si="1"/>
        <v>0.08056702302373216</v>
      </c>
    </row>
    <row r="41" spans="1:6" ht="12" customHeight="1">
      <c r="A41" s="2" t="s">
        <v>223</v>
      </c>
      <c r="B41" s="206">
        <v>9630.9</v>
      </c>
      <c r="C41" s="206"/>
      <c r="D41" s="206">
        <v>6000</v>
      </c>
      <c r="E41" s="160">
        <f t="shared" si="0"/>
        <v>15630.9</v>
      </c>
      <c r="F41" s="161">
        <f t="shared" si="1"/>
        <v>0.018478871315945045</v>
      </c>
    </row>
    <row r="42" spans="1:6" ht="12" customHeight="1">
      <c r="A42" s="2" t="s">
        <v>226</v>
      </c>
      <c r="B42" s="206">
        <v>111668.2</v>
      </c>
      <c r="C42" s="206">
        <v>120070</v>
      </c>
      <c r="D42" s="206">
        <v>151000</v>
      </c>
      <c r="E42" s="160">
        <f t="shared" si="0"/>
        <v>382738.2</v>
      </c>
      <c r="F42" s="161">
        <f t="shared" si="1"/>
        <v>0.45247362247192674</v>
      </c>
    </row>
    <row r="43" spans="1:6" ht="12" customHeight="1">
      <c r="A43" s="2" t="s">
        <v>369</v>
      </c>
      <c r="B43" s="206">
        <v>49000</v>
      </c>
      <c r="C43" s="206">
        <v>7000</v>
      </c>
      <c r="D43" s="206">
        <v>7000</v>
      </c>
      <c r="E43" s="160">
        <f t="shared" si="0"/>
        <v>63000</v>
      </c>
      <c r="F43" s="161">
        <f t="shared" si="1"/>
        <v>0.07447868599405907</v>
      </c>
    </row>
    <row r="44" spans="1:6" ht="12" customHeight="1">
      <c r="A44" s="2" t="s">
        <v>227</v>
      </c>
      <c r="B44" s="206">
        <v>1240000</v>
      </c>
      <c r="C44" s="206">
        <v>3144250</v>
      </c>
      <c r="D44" s="206">
        <v>317236</v>
      </c>
      <c r="E44" s="160">
        <f t="shared" si="0"/>
        <v>4701486</v>
      </c>
      <c r="F44" s="161">
        <f t="shared" si="1"/>
        <v>5.558103166658172</v>
      </c>
    </row>
    <row r="45" spans="1:6" ht="12" customHeight="1">
      <c r="A45" s="2" t="s">
        <v>228</v>
      </c>
      <c r="B45" s="206">
        <v>8873000</v>
      </c>
      <c r="C45" s="206">
        <v>21851881</v>
      </c>
      <c r="D45" s="206">
        <f>5030100+50000</f>
        <v>5080100</v>
      </c>
      <c r="E45" s="160">
        <f t="shared" si="0"/>
        <v>35804981</v>
      </c>
      <c r="F45" s="161">
        <f t="shared" si="1"/>
        <v>42.328697411464304</v>
      </c>
    </row>
    <row r="46" spans="1:6" ht="12" customHeight="1">
      <c r="A46" s="2" t="s">
        <v>536</v>
      </c>
      <c r="B46" s="206"/>
      <c r="C46" s="206">
        <v>9000</v>
      </c>
      <c r="D46" s="206"/>
      <c r="E46" s="160">
        <f aca="true" t="shared" si="2" ref="E46:E56">SUM(B46:D46)</f>
        <v>9000</v>
      </c>
      <c r="F46" s="161">
        <f t="shared" si="1"/>
        <v>0.010639812284865581</v>
      </c>
    </row>
    <row r="47" spans="1:6" ht="12" customHeight="1">
      <c r="A47" s="2" t="s">
        <v>229</v>
      </c>
      <c r="B47" s="206">
        <v>3904331.34</v>
      </c>
      <c r="C47" s="206">
        <v>16825446.47</v>
      </c>
      <c r="D47" s="206">
        <v>6008723.94</v>
      </c>
      <c r="E47" s="160">
        <f t="shared" si="2"/>
        <v>26738501.75</v>
      </c>
      <c r="F47" s="161">
        <f t="shared" si="1"/>
        <v>31.61029326650554</v>
      </c>
    </row>
    <row r="48" spans="1:6" ht="12" customHeight="1">
      <c r="A48" s="2" t="s">
        <v>182</v>
      </c>
      <c r="B48" s="206">
        <v>77000</v>
      </c>
      <c r="C48" s="206">
        <v>17000</v>
      </c>
      <c r="D48" s="206">
        <v>7000</v>
      </c>
      <c r="E48" s="160">
        <f t="shared" si="2"/>
        <v>101000</v>
      </c>
      <c r="F48" s="161">
        <f t="shared" si="1"/>
        <v>0.11940233786349153</v>
      </c>
    </row>
    <row r="49" spans="1:6" ht="12" customHeight="1">
      <c r="A49" s="2" t="s">
        <v>183</v>
      </c>
      <c r="B49" s="206">
        <v>90616</v>
      </c>
      <c r="C49" s="206">
        <v>5000</v>
      </c>
      <c r="D49" s="206">
        <v>9000</v>
      </c>
      <c r="E49" s="160">
        <f t="shared" si="2"/>
        <v>104616</v>
      </c>
      <c r="F49" s="161">
        <f t="shared" si="1"/>
        <v>0.12367717799927752</v>
      </c>
    </row>
    <row r="50" spans="1:6" ht="12" customHeight="1">
      <c r="A50" s="2" t="s">
        <v>355</v>
      </c>
      <c r="B50" s="206">
        <v>5000</v>
      </c>
      <c r="C50" s="206">
        <v>5000</v>
      </c>
      <c r="D50" s="206">
        <v>5000</v>
      </c>
      <c r="E50" s="160">
        <f t="shared" si="2"/>
        <v>15000</v>
      </c>
      <c r="F50" s="161">
        <f t="shared" si="1"/>
        <v>0.01773302047477597</v>
      </c>
    </row>
    <row r="51" spans="1:6" ht="12" customHeight="1">
      <c r="A51" s="2" t="s">
        <v>278</v>
      </c>
      <c r="B51" s="206">
        <v>64000</v>
      </c>
      <c r="C51" s="206">
        <v>64000</v>
      </c>
      <c r="D51" s="206"/>
      <c r="E51" s="160">
        <f t="shared" si="2"/>
        <v>128000</v>
      </c>
      <c r="F51" s="161">
        <f t="shared" si="1"/>
        <v>0.15132177471808828</v>
      </c>
    </row>
    <row r="52" spans="1:6" ht="12" customHeight="1">
      <c r="A52" s="2" t="s">
        <v>91</v>
      </c>
      <c r="B52" s="206">
        <v>199198.44</v>
      </c>
      <c r="C52" s="206">
        <v>187732</v>
      </c>
      <c r="D52" s="206">
        <v>187500</v>
      </c>
      <c r="E52" s="160">
        <f t="shared" si="2"/>
        <v>574430.44</v>
      </c>
      <c r="F52" s="161">
        <f t="shared" si="1"/>
        <v>0.6790924502569712</v>
      </c>
    </row>
    <row r="53" spans="1:6" ht="12" customHeight="1">
      <c r="A53" s="2" t="s">
        <v>424</v>
      </c>
      <c r="B53" s="206">
        <v>58143.33</v>
      </c>
      <c r="C53" s="206"/>
      <c r="D53" s="206"/>
      <c r="E53" s="160">
        <f t="shared" si="2"/>
        <v>58143.33</v>
      </c>
      <c r="F53" s="161">
        <f t="shared" si="1"/>
        <v>0.06873712409077706</v>
      </c>
    </row>
    <row r="54" spans="1:6" ht="12" customHeight="1">
      <c r="A54" s="2" t="s">
        <v>184</v>
      </c>
      <c r="B54" s="206">
        <v>44080</v>
      </c>
      <c r="C54" s="206">
        <v>14000</v>
      </c>
      <c r="D54" s="206">
        <v>12240</v>
      </c>
      <c r="E54" s="160">
        <f t="shared" si="2"/>
        <v>70320</v>
      </c>
      <c r="F54" s="161">
        <f t="shared" si="1"/>
        <v>0.08313239998574976</v>
      </c>
    </row>
    <row r="55" spans="1:6" ht="12" customHeight="1">
      <c r="A55" s="2" t="s">
        <v>185</v>
      </c>
      <c r="B55" s="206">
        <v>17730.05</v>
      </c>
      <c r="C55" s="206">
        <v>14744</v>
      </c>
      <c r="D55" s="206">
        <v>5000</v>
      </c>
      <c r="E55" s="160">
        <f t="shared" si="2"/>
        <v>37474.05</v>
      </c>
      <c r="F55" s="161">
        <f t="shared" si="1"/>
        <v>0.04430187306151857</v>
      </c>
    </row>
    <row r="56" spans="1:6" ht="12" customHeight="1">
      <c r="A56" s="2" t="s">
        <v>186</v>
      </c>
      <c r="B56" s="206">
        <v>12000</v>
      </c>
      <c r="C56" s="206">
        <v>12000</v>
      </c>
      <c r="D56" s="206">
        <v>12000</v>
      </c>
      <c r="E56" s="160">
        <f t="shared" si="2"/>
        <v>36000</v>
      </c>
      <c r="F56" s="161">
        <f t="shared" si="1"/>
        <v>0.042559249139462324</v>
      </c>
    </row>
    <row r="57" spans="2:6" ht="9" customHeight="1">
      <c r="B57" s="206"/>
      <c r="C57" s="206"/>
      <c r="D57" s="206"/>
      <c r="E57" s="160"/>
      <c r="F57" s="207"/>
    </row>
    <row r="58" spans="1:6" ht="12" customHeight="1">
      <c r="A58" s="6" t="s">
        <v>276</v>
      </c>
      <c r="B58" s="208">
        <f>SUM(B12:B56)</f>
        <v>16651452.620000001</v>
      </c>
      <c r="C58" s="208">
        <f>SUM(C12:C56)</f>
        <v>43848999.37</v>
      </c>
      <c r="D58" s="208">
        <f>SUM(D12:D56)</f>
        <v>13394069.39</v>
      </c>
      <c r="E58" s="208">
        <f>SUM(E12:E56)</f>
        <v>73894521.38</v>
      </c>
      <c r="F58" s="208">
        <f>SUM(F12:F56)</f>
        <v>87.35820404035402</v>
      </c>
    </row>
    <row r="59" spans="1:6" ht="12" customHeight="1">
      <c r="A59" s="6"/>
      <c r="B59" s="240"/>
      <c r="C59" s="240"/>
      <c r="D59" s="240"/>
      <c r="E59" s="240"/>
      <c r="F59" s="240"/>
    </row>
    <row r="60" spans="1:6" ht="12" customHeight="1">
      <c r="A60" s="6"/>
      <c r="B60" s="240"/>
      <c r="C60" s="240"/>
      <c r="D60" s="240"/>
      <c r="E60" s="240"/>
      <c r="F60" s="240"/>
    </row>
    <row r="61" spans="5:6" ht="12" customHeight="1">
      <c r="E61" s="246" t="s">
        <v>152</v>
      </c>
      <c r="F61" s="246"/>
    </row>
    <row r="62" spans="5:6" ht="12" customHeight="1">
      <c r="E62" s="252" t="s">
        <v>432</v>
      </c>
      <c r="F62" s="246"/>
    </row>
    <row r="63" spans="1:6" ht="12.75" customHeight="1">
      <c r="A63" s="245" t="s">
        <v>403</v>
      </c>
      <c r="B63" s="245"/>
      <c r="C63" s="245"/>
      <c r="D63" s="245"/>
      <c r="E63" s="245"/>
      <c r="F63" s="245"/>
    </row>
    <row r="64" spans="1:6" ht="13.5" customHeight="1">
      <c r="A64" s="247" t="s">
        <v>585</v>
      </c>
      <c r="B64" s="247"/>
      <c r="C64" s="247"/>
      <c r="D64" s="247"/>
      <c r="E64" s="247"/>
      <c r="F64" s="247"/>
    </row>
    <row r="65" spans="1:6" ht="12" customHeight="1">
      <c r="A65" s="245" t="s">
        <v>413</v>
      </c>
      <c r="B65" s="245"/>
      <c r="C65" s="245"/>
      <c r="D65" s="245"/>
      <c r="E65" s="245"/>
      <c r="F65" s="245"/>
    </row>
    <row r="66" spans="1:6" ht="14.25" customHeight="1">
      <c r="A66" s="245" t="s">
        <v>490</v>
      </c>
      <c r="B66" s="245"/>
      <c r="C66" s="245"/>
      <c r="D66" s="245"/>
      <c r="E66" s="245"/>
      <c r="F66" s="245"/>
    </row>
    <row r="67" spans="1:6" ht="6.75" customHeight="1">
      <c r="A67" s="19"/>
      <c r="B67" s="19"/>
      <c r="C67" s="19"/>
      <c r="D67" s="19"/>
      <c r="E67" s="19"/>
      <c r="F67" s="19"/>
    </row>
    <row r="68" spans="1:6" ht="12" customHeight="1">
      <c r="A68" s="83"/>
      <c r="B68" s="83"/>
      <c r="C68" s="83"/>
      <c r="D68" s="83"/>
      <c r="E68" s="83"/>
      <c r="F68" s="3"/>
    </row>
    <row r="69" spans="1:6" ht="12" customHeight="1">
      <c r="A69" s="108" t="s">
        <v>19</v>
      </c>
      <c r="B69" s="109" t="s">
        <v>487</v>
      </c>
      <c r="C69" s="109" t="s">
        <v>488</v>
      </c>
      <c r="D69" s="109" t="s">
        <v>489</v>
      </c>
      <c r="E69" s="108" t="s">
        <v>20</v>
      </c>
      <c r="F69" s="98" t="s">
        <v>21</v>
      </c>
    </row>
    <row r="70" spans="1:6" ht="12" customHeight="1">
      <c r="A70" s="83"/>
      <c r="B70" s="83"/>
      <c r="C70" s="83"/>
      <c r="D70" s="83"/>
      <c r="E70" s="83"/>
      <c r="F70" s="3"/>
    </row>
    <row r="71" spans="1:6" ht="7.5" customHeight="1">
      <c r="A71" s="19"/>
      <c r="B71" s="206"/>
      <c r="C71" s="206"/>
      <c r="D71" s="206"/>
      <c r="E71" s="154"/>
      <c r="F71" s="209"/>
    </row>
    <row r="72" spans="1:6" ht="12" customHeight="1">
      <c r="A72" s="2" t="s">
        <v>245</v>
      </c>
      <c r="B72" s="206">
        <v>32400</v>
      </c>
      <c r="C72" s="206">
        <v>30400</v>
      </c>
      <c r="D72" s="206">
        <v>30400</v>
      </c>
      <c r="E72" s="160">
        <f aca="true" t="shared" si="3" ref="E72:E81">SUM(B72:D72)</f>
        <v>93200</v>
      </c>
      <c r="F72" s="161">
        <f aca="true" t="shared" si="4" ref="F72:F113">(E72/$E$154*100)</f>
        <v>0.11018116721660802</v>
      </c>
    </row>
    <row r="73" spans="1:6" ht="12" customHeight="1">
      <c r="A73" s="2" t="s">
        <v>92</v>
      </c>
      <c r="B73" s="206">
        <v>7500</v>
      </c>
      <c r="C73" s="206">
        <v>17500</v>
      </c>
      <c r="D73" s="206">
        <v>7500</v>
      </c>
      <c r="E73" s="160">
        <f t="shared" si="3"/>
        <v>32500</v>
      </c>
      <c r="F73" s="161">
        <f t="shared" si="4"/>
        <v>0.0384215443620146</v>
      </c>
    </row>
    <row r="74" spans="1:6" ht="12" customHeight="1">
      <c r="A74" s="2" t="s">
        <v>147</v>
      </c>
      <c r="B74" s="206">
        <v>19288.5</v>
      </c>
      <c r="C74" s="206">
        <v>28500</v>
      </c>
      <c r="D74" s="206">
        <v>21428.06</v>
      </c>
      <c r="E74" s="160">
        <f t="shared" si="3"/>
        <v>69216.56</v>
      </c>
      <c r="F74" s="161">
        <f t="shared" si="4"/>
        <v>0.08182791171157063</v>
      </c>
    </row>
    <row r="75" spans="1:6" ht="12" customHeight="1">
      <c r="A75" s="2" t="s">
        <v>93</v>
      </c>
      <c r="B75" s="206">
        <v>8825</v>
      </c>
      <c r="C75" s="206">
        <v>41956</v>
      </c>
      <c r="D75" s="206">
        <v>16034.4</v>
      </c>
      <c r="E75" s="160">
        <f t="shared" si="3"/>
        <v>66815.4</v>
      </c>
      <c r="F75" s="161">
        <f t="shared" si="4"/>
        <v>0.07898925708202308</v>
      </c>
    </row>
    <row r="76" spans="1:6" ht="12" customHeight="1">
      <c r="A76" s="2" t="s">
        <v>187</v>
      </c>
      <c r="B76" s="206">
        <v>54045</v>
      </c>
      <c r="C76" s="206">
        <v>24000</v>
      </c>
      <c r="D76" s="206">
        <v>15000</v>
      </c>
      <c r="E76" s="160">
        <f t="shared" si="3"/>
        <v>93045</v>
      </c>
      <c r="F76" s="161">
        <f t="shared" si="4"/>
        <v>0.10999792600503534</v>
      </c>
    </row>
    <row r="77" spans="1:6" ht="12" customHeight="1">
      <c r="A77" s="2" t="s">
        <v>168</v>
      </c>
      <c r="B77" s="206">
        <v>53227.16</v>
      </c>
      <c r="C77" s="206">
        <v>49400</v>
      </c>
      <c r="D77" s="206">
        <v>6000</v>
      </c>
      <c r="E77" s="160">
        <f t="shared" si="3"/>
        <v>108627.16</v>
      </c>
      <c r="F77" s="161">
        <f t="shared" si="4"/>
        <v>0.12841917682645101</v>
      </c>
    </row>
    <row r="78" spans="1:6" ht="12" customHeight="1">
      <c r="A78" s="2" t="s">
        <v>498</v>
      </c>
      <c r="B78" s="206">
        <v>25100</v>
      </c>
      <c r="C78" s="206"/>
      <c r="D78" s="206"/>
      <c r="E78" s="160">
        <f>SUM(B78:D78)</f>
        <v>25100</v>
      </c>
      <c r="F78" s="161">
        <f t="shared" si="4"/>
        <v>0.02967325426112512</v>
      </c>
    </row>
    <row r="79" spans="1:6" ht="12" customHeight="1">
      <c r="A79" s="2" t="s">
        <v>472</v>
      </c>
      <c r="B79" s="206">
        <v>80400</v>
      </c>
      <c r="C79" s="206">
        <v>52000</v>
      </c>
      <c r="D79" s="206">
        <v>10000</v>
      </c>
      <c r="E79" s="160">
        <f t="shared" si="3"/>
        <v>142400</v>
      </c>
      <c r="F79" s="161">
        <f t="shared" si="4"/>
        <v>0.1683454743738732</v>
      </c>
    </row>
    <row r="80" spans="1:6" ht="12" customHeight="1">
      <c r="A80" s="2" t="s">
        <v>160</v>
      </c>
      <c r="B80" s="206">
        <v>639909.11</v>
      </c>
      <c r="C80" s="206">
        <v>10000</v>
      </c>
      <c r="D80" s="206">
        <v>871009.41</v>
      </c>
      <c r="E80" s="160">
        <f t="shared" si="3"/>
        <v>1520918.52</v>
      </c>
      <c r="F80" s="161">
        <f t="shared" si="4"/>
        <v>1.7980319503750644</v>
      </c>
    </row>
    <row r="81" spans="1:6" ht="12" customHeight="1">
      <c r="A81" s="2" t="s">
        <v>188</v>
      </c>
      <c r="B81" s="206">
        <v>700658.5</v>
      </c>
      <c r="C81" s="206">
        <v>565336.5</v>
      </c>
      <c r="D81" s="206">
        <v>504479</v>
      </c>
      <c r="E81" s="160">
        <f t="shared" si="3"/>
        <v>1770474</v>
      </c>
      <c r="F81" s="161">
        <f t="shared" si="4"/>
        <v>2.0930567794705675</v>
      </c>
    </row>
    <row r="82" spans="1:6" ht="12" customHeight="1">
      <c r="A82" s="2" t="s">
        <v>452</v>
      </c>
      <c r="B82" s="206"/>
      <c r="C82" s="206">
        <v>50000</v>
      </c>
      <c r="D82" s="206">
        <v>50000</v>
      </c>
      <c r="E82" s="160">
        <f aca="true" t="shared" si="5" ref="E82:E113">SUM(B82:D82)</f>
        <v>100000</v>
      </c>
      <c r="F82" s="161">
        <f t="shared" si="4"/>
        <v>0.11822013649850646</v>
      </c>
    </row>
    <row r="83" spans="1:6" ht="12" customHeight="1">
      <c r="A83" s="2" t="s">
        <v>189</v>
      </c>
      <c r="B83" s="206">
        <v>4000</v>
      </c>
      <c r="C83" s="206">
        <v>4000</v>
      </c>
      <c r="D83" s="206">
        <v>4000</v>
      </c>
      <c r="E83" s="160">
        <f t="shared" si="5"/>
        <v>12000</v>
      </c>
      <c r="F83" s="161">
        <f t="shared" si="4"/>
        <v>0.014186416379820776</v>
      </c>
    </row>
    <row r="84" spans="1:6" ht="12" customHeight="1">
      <c r="A84" s="2" t="s">
        <v>473</v>
      </c>
      <c r="B84" s="206">
        <v>3000</v>
      </c>
      <c r="C84" s="206">
        <v>3000</v>
      </c>
      <c r="D84" s="206"/>
      <c r="E84" s="160">
        <f t="shared" si="5"/>
        <v>6000</v>
      </c>
      <c r="F84" s="161">
        <f t="shared" si="4"/>
        <v>0.007093208189910388</v>
      </c>
    </row>
    <row r="85" spans="1:6" ht="12" customHeight="1">
      <c r="A85" s="2" t="s">
        <v>249</v>
      </c>
      <c r="B85" s="206">
        <v>410439</v>
      </c>
      <c r="C85" s="206">
        <v>312649</v>
      </c>
      <c r="D85" s="206">
        <f>232608.5+11787</f>
        <v>244395.5</v>
      </c>
      <c r="E85" s="160">
        <f t="shared" si="5"/>
        <v>967483.5</v>
      </c>
      <c r="F85" s="161">
        <f t="shared" si="4"/>
        <v>1.1437603143005277</v>
      </c>
    </row>
    <row r="86" spans="1:6" ht="12" customHeight="1">
      <c r="A86" s="2" t="s">
        <v>356</v>
      </c>
      <c r="B86" s="206">
        <v>15000</v>
      </c>
      <c r="C86" s="206">
        <v>18000</v>
      </c>
      <c r="D86" s="206">
        <v>18600</v>
      </c>
      <c r="E86" s="160">
        <f t="shared" si="5"/>
        <v>51600</v>
      </c>
      <c r="F86" s="161">
        <f t="shared" si="4"/>
        <v>0.06100159043322934</v>
      </c>
    </row>
    <row r="87" spans="1:6" ht="12" customHeight="1">
      <c r="A87" s="2" t="s">
        <v>449</v>
      </c>
      <c r="B87" s="206">
        <v>7000</v>
      </c>
      <c r="C87" s="206"/>
      <c r="D87" s="206">
        <v>3000</v>
      </c>
      <c r="E87" s="160">
        <f t="shared" si="5"/>
        <v>10000</v>
      </c>
      <c r="F87" s="161">
        <f t="shared" si="4"/>
        <v>0.011822013649850647</v>
      </c>
    </row>
    <row r="88" spans="1:6" ht="12" customHeight="1">
      <c r="A88" s="2" t="s">
        <v>173</v>
      </c>
      <c r="B88" s="206">
        <v>1597596.52</v>
      </c>
      <c r="C88" s="206">
        <v>713562.18</v>
      </c>
      <c r="D88" s="206">
        <v>1265504.32</v>
      </c>
      <c r="E88" s="160">
        <f t="shared" si="5"/>
        <v>3576663.0200000005</v>
      </c>
      <c r="F88" s="161">
        <f t="shared" si="4"/>
        <v>4.228335904335604</v>
      </c>
    </row>
    <row r="89" spans="1:6" ht="12" customHeight="1">
      <c r="A89" s="2" t="s">
        <v>357</v>
      </c>
      <c r="B89" s="206">
        <v>15000</v>
      </c>
      <c r="C89" s="206">
        <v>30000</v>
      </c>
      <c r="D89" s="206"/>
      <c r="E89" s="160">
        <f t="shared" si="5"/>
        <v>45000</v>
      </c>
      <c r="F89" s="161">
        <f t="shared" si="4"/>
        <v>0.053199061424327905</v>
      </c>
    </row>
    <row r="90" spans="1:6" ht="12" customHeight="1">
      <c r="A90" s="2" t="s">
        <v>458</v>
      </c>
      <c r="B90" s="206">
        <v>7200</v>
      </c>
      <c r="C90" s="206"/>
      <c r="D90" s="206"/>
      <c r="E90" s="160">
        <f t="shared" si="5"/>
        <v>7200</v>
      </c>
      <c r="F90" s="161">
        <f t="shared" si="4"/>
        <v>0.008511849827892465</v>
      </c>
    </row>
    <row r="91" spans="1:6" ht="12" customHeight="1">
      <c r="A91" s="2" t="s">
        <v>579</v>
      </c>
      <c r="B91" s="206"/>
      <c r="C91" s="206"/>
      <c r="D91" s="206">
        <v>3000</v>
      </c>
      <c r="E91" s="160">
        <f>SUM(B91:D91)</f>
        <v>3000</v>
      </c>
      <c r="F91" s="161">
        <f t="shared" si="4"/>
        <v>0.003546604094955194</v>
      </c>
    </row>
    <row r="92" spans="1:6" ht="12" customHeight="1">
      <c r="A92" s="2" t="s">
        <v>460</v>
      </c>
      <c r="B92" s="206">
        <v>42950</v>
      </c>
      <c r="C92" s="206"/>
      <c r="D92" s="206"/>
      <c r="E92" s="160">
        <f t="shared" si="5"/>
        <v>42950</v>
      </c>
      <c r="F92" s="161">
        <f t="shared" si="4"/>
        <v>0.05077554862610852</v>
      </c>
    </row>
    <row r="93" spans="1:6" ht="12" customHeight="1">
      <c r="A93" s="2" t="s">
        <v>105</v>
      </c>
      <c r="B93" s="206">
        <v>125960</v>
      </c>
      <c r="C93" s="206"/>
      <c r="D93" s="2"/>
      <c r="E93" s="160">
        <f t="shared" si="5"/>
        <v>125960</v>
      </c>
      <c r="F93" s="161">
        <f t="shared" si="4"/>
        <v>0.14891008393351873</v>
      </c>
    </row>
    <row r="94" spans="1:6" ht="12" customHeight="1">
      <c r="A94" s="2" t="s">
        <v>95</v>
      </c>
      <c r="B94" s="206">
        <v>7300</v>
      </c>
      <c r="C94" s="206">
        <v>2800</v>
      </c>
      <c r="D94" s="206">
        <v>5767.3</v>
      </c>
      <c r="E94" s="160">
        <f t="shared" si="5"/>
        <v>15867.3</v>
      </c>
      <c r="F94" s="161">
        <f t="shared" si="4"/>
        <v>0.018758343718627515</v>
      </c>
    </row>
    <row r="95" spans="1:6" ht="12" customHeight="1">
      <c r="A95" s="2" t="s">
        <v>256</v>
      </c>
      <c r="B95" s="206">
        <f>37797-29961.87</f>
        <v>7835.130000000001</v>
      </c>
      <c r="C95" s="206"/>
      <c r="D95" s="206"/>
      <c r="E95" s="160">
        <f t="shared" si="5"/>
        <v>7835.130000000001</v>
      </c>
      <c r="F95" s="161">
        <f t="shared" si="4"/>
        <v>0.00926270138083543</v>
      </c>
    </row>
    <row r="96" spans="1:6" ht="12" customHeight="1">
      <c r="A96" s="2" t="s">
        <v>282</v>
      </c>
      <c r="B96" s="206">
        <v>23310</v>
      </c>
      <c r="C96" s="206"/>
      <c r="D96" s="206"/>
      <c r="E96" s="160">
        <f t="shared" si="5"/>
        <v>23310</v>
      </c>
      <c r="F96" s="161">
        <f t="shared" si="4"/>
        <v>0.027557113817801855</v>
      </c>
    </row>
    <row r="97" spans="1:6" ht="12" customHeight="1">
      <c r="A97" s="2" t="s">
        <v>283</v>
      </c>
      <c r="B97" s="206">
        <v>68650.75</v>
      </c>
      <c r="C97" s="206">
        <v>62125</v>
      </c>
      <c r="D97" s="206"/>
      <c r="E97" s="160">
        <f t="shared" si="5"/>
        <v>130775.75</v>
      </c>
      <c r="F97" s="161">
        <f t="shared" si="4"/>
        <v>0.15460327015694555</v>
      </c>
    </row>
    <row r="98" spans="1:6" ht="12" customHeight="1">
      <c r="A98" s="2" t="s">
        <v>97</v>
      </c>
      <c r="B98" s="206">
        <v>25390.5</v>
      </c>
      <c r="C98" s="206"/>
      <c r="D98" s="206">
        <f>15000</f>
        <v>15000</v>
      </c>
      <c r="E98" s="160">
        <f t="shared" si="5"/>
        <v>40390.5</v>
      </c>
      <c r="F98" s="161">
        <f t="shared" si="4"/>
        <v>0.04774970423242925</v>
      </c>
    </row>
    <row r="99" spans="1:6" ht="12" customHeight="1">
      <c r="A99" s="2" t="s">
        <v>284</v>
      </c>
      <c r="B99" s="206">
        <v>13000</v>
      </c>
      <c r="C99" s="206">
        <v>32000</v>
      </c>
      <c r="D99" s="206">
        <f>2800+14000</f>
        <v>16800</v>
      </c>
      <c r="E99" s="160">
        <f t="shared" si="5"/>
        <v>61800</v>
      </c>
      <c r="F99" s="161">
        <f t="shared" si="4"/>
        <v>0.07306004435607699</v>
      </c>
    </row>
    <row r="100" spans="1:6" ht="12" customHeight="1">
      <c r="A100" s="2" t="s">
        <v>99</v>
      </c>
      <c r="B100" s="206">
        <v>1800</v>
      </c>
      <c r="C100" s="206"/>
      <c r="D100" s="189"/>
      <c r="E100" s="160">
        <f t="shared" si="5"/>
        <v>1800</v>
      </c>
      <c r="F100" s="161">
        <f t="shared" si="4"/>
        <v>0.002127962456973116</v>
      </c>
    </row>
    <row r="101" spans="1:6" ht="12" customHeight="1">
      <c r="A101" s="2" t="s">
        <v>172</v>
      </c>
      <c r="B101" s="206"/>
      <c r="C101" s="206">
        <v>7556</v>
      </c>
      <c r="D101" s="206"/>
      <c r="E101" s="160">
        <f t="shared" si="5"/>
        <v>7556</v>
      </c>
      <c r="F101" s="161">
        <f t="shared" si="4"/>
        <v>0.008932713513827148</v>
      </c>
    </row>
    <row r="102" spans="1:7" ht="12" customHeight="1">
      <c r="A102" s="2" t="s">
        <v>98</v>
      </c>
      <c r="B102" s="206">
        <v>45785</v>
      </c>
      <c r="C102" s="206"/>
      <c r="D102" s="206">
        <v>38000</v>
      </c>
      <c r="E102" s="160">
        <f t="shared" si="5"/>
        <v>83785</v>
      </c>
      <c r="F102" s="161">
        <f t="shared" si="4"/>
        <v>0.09905074136527364</v>
      </c>
      <c r="G102" s="78"/>
    </row>
    <row r="103" spans="1:7" ht="12" customHeight="1">
      <c r="A103" s="2" t="s">
        <v>285</v>
      </c>
      <c r="B103" s="117"/>
      <c r="C103" s="206">
        <v>14254.01</v>
      </c>
      <c r="D103" s="2"/>
      <c r="E103" s="160">
        <f t="shared" si="5"/>
        <v>14254.01</v>
      </c>
      <c r="F103" s="161">
        <f t="shared" si="4"/>
        <v>0.016851110078510763</v>
      </c>
      <c r="G103" s="78"/>
    </row>
    <row r="104" spans="1:7" ht="12" customHeight="1">
      <c r="A104" s="2" t="s">
        <v>230</v>
      </c>
      <c r="B104" s="206">
        <f>36437.7+2500</f>
        <v>38937.7</v>
      </c>
      <c r="C104" s="206">
        <f>4725+3000</f>
        <v>7725</v>
      </c>
      <c r="D104" s="206">
        <f>2615.63-2500-3000</f>
        <v>-2884.37</v>
      </c>
      <c r="E104" s="160">
        <f t="shared" si="5"/>
        <v>43778.329999999994</v>
      </c>
      <c r="F104" s="161">
        <f t="shared" si="4"/>
        <v>0.051754801482766594</v>
      </c>
      <c r="G104" s="78"/>
    </row>
    <row r="105" spans="1:7" ht="12" customHeight="1">
      <c r="A105" s="2" t="s">
        <v>169</v>
      </c>
      <c r="B105" s="206">
        <v>1920.3</v>
      </c>
      <c r="C105" s="206">
        <v>1920.3</v>
      </c>
      <c r="D105" s="206">
        <v>11000</v>
      </c>
      <c r="E105" s="160">
        <f>SUM(B105:D105)</f>
        <v>14840.6</v>
      </c>
      <c r="F105" s="161">
        <f t="shared" si="4"/>
        <v>0.01754457757719735</v>
      </c>
      <c r="G105" s="78"/>
    </row>
    <row r="106" spans="1:7" ht="12" customHeight="1">
      <c r="A106" s="2" t="s">
        <v>243</v>
      </c>
      <c r="B106" s="206">
        <v>1112.05</v>
      </c>
      <c r="C106" s="206"/>
      <c r="D106" s="206"/>
      <c r="E106" s="160">
        <f t="shared" si="5"/>
        <v>1112.05</v>
      </c>
      <c r="F106" s="161">
        <f t="shared" si="4"/>
        <v>0.0013146670279316412</v>
      </c>
      <c r="G106" s="78"/>
    </row>
    <row r="107" spans="1:6" ht="12" customHeight="1">
      <c r="A107" s="2" t="s">
        <v>190</v>
      </c>
      <c r="B107" s="206">
        <v>59312.56</v>
      </c>
      <c r="C107" s="206"/>
      <c r="D107" s="206"/>
      <c r="E107" s="160">
        <f t="shared" si="5"/>
        <v>59312.56</v>
      </c>
      <c r="F107" s="161">
        <f t="shared" si="4"/>
        <v>0.07011938939275854</v>
      </c>
    </row>
    <row r="108" spans="1:6" ht="12" customHeight="1">
      <c r="A108" s="2" t="s">
        <v>537</v>
      </c>
      <c r="B108" s="206"/>
      <c r="C108" s="206">
        <v>10500</v>
      </c>
      <c r="D108" s="206"/>
      <c r="E108" s="160">
        <f t="shared" si="5"/>
        <v>10500</v>
      </c>
      <c r="F108" s="161">
        <f t="shared" si="4"/>
        <v>0.01241311433234318</v>
      </c>
    </row>
    <row r="109" spans="1:6" ht="12" customHeight="1">
      <c r="A109" s="2" t="s">
        <v>102</v>
      </c>
      <c r="B109" s="206">
        <f>100000-60000</f>
        <v>40000</v>
      </c>
      <c r="C109" s="206">
        <v>100000</v>
      </c>
      <c r="D109" s="206"/>
      <c r="E109" s="160">
        <f t="shared" si="5"/>
        <v>140000</v>
      </c>
      <c r="F109" s="161">
        <f t="shared" si="4"/>
        <v>0.16550819109790904</v>
      </c>
    </row>
    <row r="110" spans="1:6" ht="12" customHeight="1">
      <c r="A110" s="2" t="s">
        <v>383</v>
      </c>
      <c r="B110" s="206"/>
      <c r="C110" s="206"/>
      <c r="D110" s="206">
        <v>57290.6</v>
      </c>
      <c r="E110" s="160">
        <f t="shared" si="5"/>
        <v>57290.6</v>
      </c>
      <c r="F110" s="161">
        <f t="shared" si="4"/>
        <v>0.06772902552081334</v>
      </c>
    </row>
    <row r="111" spans="1:6" ht="12" customHeight="1">
      <c r="A111" s="2" t="s">
        <v>384</v>
      </c>
      <c r="B111" s="206">
        <v>29402</v>
      </c>
      <c r="C111" s="206">
        <v>5000</v>
      </c>
      <c r="D111" s="206">
        <v>137902.32</v>
      </c>
      <c r="E111" s="160">
        <f>SUM(B111:D111)</f>
        <v>172304.32</v>
      </c>
      <c r="F111" s="161">
        <f t="shared" si="4"/>
        <v>0.20369840229682334</v>
      </c>
    </row>
    <row r="112" spans="1:6" ht="12" customHeight="1">
      <c r="A112" s="2" t="s">
        <v>232</v>
      </c>
      <c r="B112" s="206">
        <v>20000</v>
      </c>
      <c r="C112" s="206"/>
      <c r="D112" s="206">
        <v>50000</v>
      </c>
      <c r="E112" s="160">
        <f t="shared" si="5"/>
        <v>70000</v>
      </c>
      <c r="F112" s="161">
        <f t="shared" si="4"/>
        <v>0.08275409554895452</v>
      </c>
    </row>
    <row r="113" spans="1:6" ht="12" customHeight="1">
      <c r="A113" s="2" t="s">
        <v>538</v>
      </c>
      <c r="B113" s="206"/>
      <c r="C113" s="206">
        <v>12250</v>
      </c>
      <c r="D113" s="2"/>
      <c r="E113" s="160">
        <f t="shared" si="5"/>
        <v>12250</v>
      </c>
      <c r="F113" s="161">
        <f t="shared" si="4"/>
        <v>0.014481966721067042</v>
      </c>
    </row>
    <row r="114" spans="2:6" ht="12" customHeight="1">
      <c r="B114" s="206"/>
      <c r="C114" s="206"/>
      <c r="D114" s="206"/>
      <c r="E114" s="160"/>
      <c r="F114" s="161"/>
    </row>
    <row r="115" spans="1:6" ht="12" customHeight="1">
      <c r="A115" s="6" t="s">
        <v>276</v>
      </c>
      <c r="B115" s="208">
        <f>SUM(B72:B114)</f>
        <v>4233254.779999999</v>
      </c>
      <c r="C115" s="208">
        <f>SUM(C72:C114)</f>
        <v>2206433.99</v>
      </c>
      <c r="D115" s="208">
        <f>SUM(D72:D114)</f>
        <v>3399226.54</v>
      </c>
      <c r="E115" s="208">
        <f>SUM(E72:E114)</f>
        <v>9838915.310000002</v>
      </c>
      <c r="F115" s="208">
        <f>SUM(F72:F114)</f>
        <v>11.63157910945445</v>
      </c>
    </row>
    <row r="116" spans="5:6" ht="12" customHeight="1">
      <c r="E116" s="246" t="s">
        <v>152</v>
      </c>
      <c r="F116" s="246"/>
    </row>
    <row r="117" spans="5:6" ht="12" customHeight="1">
      <c r="E117" s="252" t="s">
        <v>433</v>
      </c>
      <c r="F117" s="246"/>
    </row>
    <row r="118" spans="1:6" ht="13.5" customHeight="1">
      <c r="A118" s="245" t="s">
        <v>403</v>
      </c>
      <c r="B118" s="245"/>
      <c r="C118" s="245"/>
      <c r="D118" s="245"/>
      <c r="E118" s="245"/>
      <c r="F118" s="245"/>
    </row>
    <row r="119" spans="1:6" ht="15" customHeight="1">
      <c r="A119" s="247" t="s">
        <v>585</v>
      </c>
      <c r="B119" s="247"/>
      <c r="C119" s="247"/>
      <c r="D119" s="247"/>
      <c r="E119" s="247"/>
      <c r="F119" s="247"/>
    </row>
    <row r="120" spans="1:6" ht="14.25" customHeight="1">
      <c r="A120" s="245" t="s">
        <v>413</v>
      </c>
      <c r="B120" s="245"/>
      <c r="C120" s="245"/>
      <c r="D120" s="245"/>
      <c r="E120" s="245"/>
      <c r="F120" s="245"/>
    </row>
    <row r="121" spans="1:6" ht="16.5" customHeight="1">
      <c r="A121" s="245" t="s">
        <v>490</v>
      </c>
      <c r="B121" s="245"/>
      <c r="C121" s="245"/>
      <c r="D121" s="245"/>
      <c r="E121" s="245"/>
      <c r="F121" s="245"/>
    </row>
    <row r="122" spans="1:6" ht="7.5" customHeight="1">
      <c r="A122" s="19"/>
      <c r="B122" s="19"/>
      <c r="C122" s="19"/>
      <c r="D122" s="19"/>
      <c r="E122" s="19"/>
      <c r="F122" s="19"/>
    </row>
    <row r="123" spans="1:6" ht="12" customHeight="1">
      <c r="A123" s="83"/>
      <c r="B123" s="83"/>
      <c r="C123" s="83"/>
      <c r="D123" s="83"/>
      <c r="E123" s="83"/>
      <c r="F123" s="3"/>
    </row>
    <row r="124" spans="1:6" ht="12" customHeight="1">
      <c r="A124" s="108" t="s">
        <v>19</v>
      </c>
      <c r="B124" s="109" t="s">
        <v>487</v>
      </c>
      <c r="C124" s="109" t="s">
        <v>488</v>
      </c>
      <c r="D124" s="109" t="s">
        <v>489</v>
      </c>
      <c r="E124" s="108" t="s">
        <v>20</v>
      </c>
      <c r="F124" s="98" t="s">
        <v>21</v>
      </c>
    </row>
    <row r="125" spans="1:6" ht="12" customHeight="1">
      <c r="A125" s="83"/>
      <c r="B125" s="83"/>
      <c r="C125" s="83"/>
      <c r="D125" s="83"/>
      <c r="E125" s="83"/>
      <c r="F125" s="3"/>
    </row>
    <row r="126" spans="2:6" ht="6.75" customHeight="1">
      <c r="B126" s="35"/>
      <c r="C126" s="35"/>
      <c r="D126" s="35"/>
      <c r="E126" s="35"/>
      <c r="F126" s="35"/>
    </row>
    <row r="127" spans="1:6" ht="12" customHeight="1">
      <c r="A127" s="2" t="s">
        <v>350</v>
      </c>
      <c r="B127" s="206">
        <v>30000</v>
      </c>
      <c r="C127" s="206">
        <v>15000</v>
      </c>
      <c r="D127" s="206">
        <v>15000</v>
      </c>
      <c r="E127" s="160">
        <f aca="true" t="shared" si="6" ref="E127:E133">SUM(B127:D127)</f>
        <v>60000</v>
      </c>
      <c r="F127" s="161">
        <f aca="true" t="shared" si="7" ref="F127:F150">(E127/$E$154*100)</f>
        <v>0.07093208189910388</v>
      </c>
    </row>
    <row r="128" spans="1:6" ht="12" customHeight="1">
      <c r="A128" s="2" t="s">
        <v>103</v>
      </c>
      <c r="B128" s="206">
        <v>4800</v>
      </c>
      <c r="C128" s="206"/>
      <c r="D128" s="189"/>
      <c r="E128" s="160">
        <f t="shared" si="6"/>
        <v>4800</v>
      </c>
      <c r="F128" s="161">
        <f t="shared" si="7"/>
        <v>0.00567456655192831</v>
      </c>
    </row>
    <row r="129" spans="1:6" ht="12" customHeight="1">
      <c r="A129" s="2" t="s">
        <v>114</v>
      </c>
      <c r="B129" s="206">
        <v>28150.6</v>
      </c>
      <c r="C129" s="206"/>
      <c r="D129" s="206"/>
      <c r="E129" s="160">
        <f t="shared" si="6"/>
        <v>28150.6</v>
      </c>
      <c r="F129" s="161">
        <f t="shared" si="7"/>
        <v>0.033279677745148555</v>
      </c>
    </row>
    <row r="130" spans="1:6" ht="12" customHeight="1">
      <c r="A130" s="2" t="s">
        <v>459</v>
      </c>
      <c r="B130" s="206">
        <v>10000</v>
      </c>
      <c r="C130" s="206"/>
      <c r="D130" s="206"/>
      <c r="E130" s="160">
        <f t="shared" si="6"/>
        <v>10000</v>
      </c>
      <c r="F130" s="161">
        <f t="shared" si="7"/>
        <v>0.011822013649850647</v>
      </c>
    </row>
    <row r="131" spans="1:6" ht="12" customHeight="1">
      <c r="A131" s="2" t="s">
        <v>248</v>
      </c>
      <c r="B131" s="206"/>
      <c r="C131" s="206">
        <v>5019.5</v>
      </c>
      <c r="D131" s="206">
        <v>10000</v>
      </c>
      <c r="E131" s="160">
        <f t="shared" si="6"/>
        <v>15019.5</v>
      </c>
      <c r="F131" s="161">
        <f t="shared" si="7"/>
        <v>0.017756073401393176</v>
      </c>
    </row>
    <row r="132" spans="1:6" ht="12" customHeight="1">
      <c r="A132" s="2" t="s">
        <v>539</v>
      </c>
      <c r="B132" s="206"/>
      <c r="C132" s="206">
        <v>122973.57</v>
      </c>
      <c r="D132" s="206"/>
      <c r="E132" s="160">
        <f>SUM(B132:D132)</f>
        <v>122973.57</v>
      </c>
      <c r="F132" s="161">
        <f t="shared" si="7"/>
        <v>0.14537952231108642</v>
      </c>
    </row>
    <row r="133" spans="1:6" ht="12" customHeight="1">
      <c r="A133" s="2" t="s">
        <v>345</v>
      </c>
      <c r="B133" s="206">
        <v>1250</v>
      </c>
      <c r="C133" s="206"/>
      <c r="D133" s="206"/>
      <c r="E133" s="160">
        <f t="shared" si="6"/>
        <v>1250</v>
      </c>
      <c r="F133" s="161">
        <f t="shared" si="7"/>
        <v>0.0014777517062313308</v>
      </c>
    </row>
    <row r="134" spans="1:6" ht="12" customHeight="1">
      <c r="A134" s="2" t="s">
        <v>161</v>
      </c>
      <c r="B134" s="206">
        <v>5400</v>
      </c>
      <c r="C134" s="206">
        <v>17025</v>
      </c>
      <c r="D134" s="206"/>
      <c r="E134" s="160">
        <f aca="true" t="shared" si="8" ref="E134:E139">SUM(B134:D134)</f>
        <v>22425</v>
      </c>
      <c r="F134" s="161">
        <f t="shared" si="7"/>
        <v>0.026510865609790074</v>
      </c>
    </row>
    <row r="135" spans="1:6" ht="12" customHeight="1">
      <c r="A135" s="2" t="s">
        <v>170</v>
      </c>
      <c r="B135" s="206">
        <v>7366</v>
      </c>
      <c r="C135" s="206">
        <v>4575.03</v>
      </c>
      <c r="D135" s="206">
        <v>17609</v>
      </c>
      <c r="E135" s="160">
        <f t="shared" si="8"/>
        <v>29550.03</v>
      </c>
      <c r="F135" s="161">
        <f t="shared" si="7"/>
        <v>0.03493408580134961</v>
      </c>
    </row>
    <row r="136" spans="1:6" ht="12" customHeight="1">
      <c r="A136" s="2" t="s">
        <v>148</v>
      </c>
      <c r="B136" s="206">
        <v>11637</v>
      </c>
      <c r="C136" s="206"/>
      <c r="D136" s="206"/>
      <c r="E136" s="160">
        <f t="shared" si="8"/>
        <v>11637</v>
      </c>
      <c r="F136" s="161">
        <f t="shared" si="7"/>
        <v>0.013757277284331198</v>
      </c>
    </row>
    <row r="137" spans="1:6" ht="12" customHeight="1">
      <c r="A137" s="2" t="s">
        <v>246</v>
      </c>
      <c r="B137" s="206">
        <v>3674.52</v>
      </c>
      <c r="C137" s="206"/>
      <c r="D137" s="206"/>
      <c r="E137" s="160">
        <f t="shared" si="8"/>
        <v>3674.52</v>
      </c>
      <c r="F137" s="161">
        <f t="shared" si="7"/>
        <v>0.00434402255966492</v>
      </c>
    </row>
    <row r="138" spans="1:6" ht="12" customHeight="1">
      <c r="A138" s="2" t="s">
        <v>108</v>
      </c>
      <c r="B138" s="206">
        <v>10000</v>
      </c>
      <c r="C138" s="206"/>
      <c r="D138" s="206"/>
      <c r="E138" s="160">
        <f>SUM(B138:D138)</f>
        <v>10000</v>
      </c>
      <c r="F138" s="161">
        <f t="shared" si="7"/>
        <v>0.011822013649850647</v>
      </c>
    </row>
    <row r="139" spans="1:6" ht="12" customHeight="1">
      <c r="A139" s="2" t="s">
        <v>121</v>
      </c>
      <c r="B139" s="206">
        <v>34611.83</v>
      </c>
      <c r="C139" s="206">
        <v>4611.83</v>
      </c>
      <c r="D139" s="206">
        <v>4600</v>
      </c>
      <c r="E139" s="160">
        <f t="shared" si="8"/>
        <v>43823.66</v>
      </c>
      <c r="F139" s="161">
        <f t="shared" si="7"/>
        <v>0.051808390670641385</v>
      </c>
    </row>
    <row r="140" spans="1:6" ht="12.75" customHeight="1">
      <c r="A140" s="2" t="s">
        <v>165</v>
      </c>
      <c r="B140" s="206">
        <v>6784.36</v>
      </c>
      <c r="C140" s="206">
        <v>6784.36</v>
      </c>
      <c r="D140" s="206">
        <v>4000</v>
      </c>
      <c r="E140" s="160">
        <f aca="true" t="shared" si="9" ref="E140:E150">SUM(B140:D140)</f>
        <v>17568.72</v>
      </c>
      <c r="F140" s="161">
        <f t="shared" si="7"/>
        <v>0.020769764765040406</v>
      </c>
    </row>
    <row r="141" spans="1:6" ht="12" customHeight="1">
      <c r="A141" s="2" t="s">
        <v>122</v>
      </c>
      <c r="B141" s="206">
        <v>44000</v>
      </c>
      <c r="C141" s="206"/>
      <c r="D141" s="206"/>
      <c r="E141" s="160">
        <f t="shared" si="9"/>
        <v>44000</v>
      </c>
      <c r="F141" s="161">
        <f t="shared" si="7"/>
        <v>0.05201686005934284</v>
      </c>
    </row>
    <row r="142" spans="1:6" ht="12" customHeight="1">
      <c r="A142" s="2" t="s">
        <v>166</v>
      </c>
      <c r="B142" s="206">
        <v>10000</v>
      </c>
      <c r="C142" s="206"/>
      <c r="D142" s="206"/>
      <c r="E142" s="160">
        <f>SUM(B142:D142)</f>
        <v>10000</v>
      </c>
      <c r="F142" s="161">
        <f t="shared" si="7"/>
        <v>0.011822013649850647</v>
      </c>
    </row>
    <row r="143" spans="1:6" ht="12" customHeight="1">
      <c r="A143" s="2" t="s">
        <v>123</v>
      </c>
      <c r="B143" s="206">
        <v>11297.5</v>
      </c>
      <c r="C143" s="206">
        <v>1297.5</v>
      </c>
      <c r="D143" s="206">
        <v>23861</v>
      </c>
      <c r="E143" s="160">
        <f t="shared" si="9"/>
        <v>36456</v>
      </c>
      <c r="F143" s="161">
        <f t="shared" si="7"/>
        <v>0.04309833296189551</v>
      </c>
    </row>
    <row r="144" spans="1:6" ht="12" customHeight="1">
      <c r="A144" s="2" t="s">
        <v>466</v>
      </c>
      <c r="B144" s="206">
        <v>2000</v>
      </c>
      <c r="C144" s="206"/>
      <c r="D144" s="206">
        <v>50500</v>
      </c>
      <c r="E144" s="160">
        <f t="shared" si="9"/>
        <v>52500</v>
      </c>
      <c r="F144" s="161">
        <f t="shared" si="7"/>
        <v>0.0620655716617159</v>
      </c>
    </row>
    <row r="145" spans="1:6" ht="12" customHeight="1">
      <c r="A145" s="2" t="s">
        <v>191</v>
      </c>
      <c r="B145" s="206">
        <v>19113.72</v>
      </c>
      <c r="C145" s="206"/>
      <c r="D145" s="206"/>
      <c r="E145" s="160">
        <f t="shared" si="9"/>
        <v>19113.72</v>
      </c>
      <c r="F145" s="161">
        <f t="shared" si="7"/>
        <v>0.02259626587394233</v>
      </c>
    </row>
    <row r="146" spans="1:6" ht="12" customHeight="1">
      <c r="A146" s="2" t="s">
        <v>254</v>
      </c>
      <c r="B146" s="206">
        <v>20000</v>
      </c>
      <c r="C146" s="206">
        <v>10368</v>
      </c>
      <c r="D146" s="206">
        <v>12310.53</v>
      </c>
      <c r="E146" s="160">
        <f t="shared" si="9"/>
        <v>42678.53</v>
      </c>
      <c r="F146" s="161">
        <f t="shared" si="7"/>
        <v>0.050454616421556034</v>
      </c>
    </row>
    <row r="147" spans="1:6" ht="12" customHeight="1">
      <c r="A147" s="2" t="s">
        <v>231</v>
      </c>
      <c r="B147" s="206">
        <v>152618.95</v>
      </c>
      <c r="C147" s="206">
        <v>4778.85</v>
      </c>
      <c r="D147" s="206"/>
      <c r="E147" s="160">
        <f t="shared" si="9"/>
        <v>157397.80000000002</v>
      </c>
      <c r="F147" s="161">
        <f t="shared" si="7"/>
        <v>0.18607589400564623</v>
      </c>
    </row>
    <row r="148" spans="1:7" ht="12" customHeight="1">
      <c r="A148" s="2" t="s">
        <v>124</v>
      </c>
      <c r="B148" s="206">
        <v>29663.16</v>
      </c>
      <c r="C148" s="206"/>
      <c r="D148" s="206"/>
      <c r="E148" s="160">
        <f t="shared" si="9"/>
        <v>29663.16</v>
      </c>
      <c r="F148" s="161">
        <f t="shared" si="7"/>
        <v>0.03506782824177037</v>
      </c>
      <c r="G148" s="78"/>
    </row>
    <row r="149" spans="1:7" ht="12" customHeight="1">
      <c r="A149" s="2" t="s">
        <v>138</v>
      </c>
      <c r="B149" s="206"/>
      <c r="C149" s="206"/>
      <c r="D149" s="206">
        <v>10000</v>
      </c>
      <c r="E149" s="160">
        <f>SUM(B149:D149)</f>
        <v>10000</v>
      </c>
      <c r="F149" s="161">
        <f t="shared" si="7"/>
        <v>0.011822013649850647</v>
      </c>
      <c r="G149" s="78"/>
    </row>
    <row r="150" spans="1:6" ht="12" customHeight="1">
      <c r="A150" s="2" t="s">
        <v>370</v>
      </c>
      <c r="B150" s="206">
        <v>71840</v>
      </c>
      <c r="C150" s="206"/>
      <c r="D150" s="206"/>
      <c r="E150" s="160">
        <f t="shared" si="9"/>
        <v>71840</v>
      </c>
      <c r="F150" s="161">
        <f t="shared" si="7"/>
        <v>0.08492934606052704</v>
      </c>
    </row>
    <row r="151" spans="2:6" ht="12" customHeight="1">
      <c r="B151" s="117"/>
      <c r="C151" s="117"/>
      <c r="D151" s="117"/>
      <c r="E151" s="117"/>
      <c r="F151" s="117"/>
    </row>
    <row r="152" spans="1:6" ht="12.75">
      <c r="A152" s="6" t="s">
        <v>276</v>
      </c>
      <c r="B152" s="208">
        <f>SUM(B127:B151)</f>
        <v>514207.63999999996</v>
      </c>
      <c r="C152" s="208">
        <f>SUM(C127:C151)</f>
        <v>192433.63999999998</v>
      </c>
      <c r="D152" s="208">
        <f>SUM(D127:D151)</f>
        <v>147880.53</v>
      </c>
      <c r="E152" s="208">
        <f>SUM(E127:E151)</f>
        <v>854521.8100000002</v>
      </c>
      <c r="F152" s="208">
        <f>SUM(F127:F151)</f>
        <v>1.010216850191508</v>
      </c>
    </row>
    <row r="153" spans="2:6" ht="12.75">
      <c r="B153" s="210"/>
      <c r="C153" s="210"/>
      <c r="D153" s="210"/>
      <c r="E153" s="165"/>
      <c r="F153" s="211"/>
    </row>
    <row r="154" spans="1:6" ht="13.5" thickBot="1">
      <c r="A154" s="6" t="s">
        <v>126</v>
      </c>
      <c r="B154" s="168">
        <f>B58+B115+B152</f>
        <v>21398915.04</v>
      </c>
      <c r="C154" s="168">
        <f>C58+C115+C152</f>
        <v>46247867</v>
      </c>
      <c r="D154" s="168">
        <f>D58+D115+D152</f>
        <v>16941176.46</v>
      </c>
      <c r="E154" s="168">
        <f>E58+E115+E152</f>
        <v>84587958.5</v>
      </c>
      <c r="F154" s="168">
        <f>F58+F115+F152</f>
        <v>99.99999999999999</v>
      </c>
    </row>
    <row r="155" spans="2:6" ht="13.5" thickTop="1">
      <c r="B155" s="117"/>
      <c r="C155" s="117"/>
      <c r="D155" s="117"/>
      <c r="E155" s="117"/>
      <c r="F155" s="117"/>
    </row>
    <row r="156" spans="2:6" ht="12.75">
      <c r="B156" s="212"/>
      <c r="C156" s="212"/>
      <c r="D156" s="212"/>
      <c r="E156" s="117"/>
      <c r="F156" s="117"/>
    </row>
    <row r="157" spans="1:6" ht="12.75">
      <c r="A157" s="80"/>
      <c r="B157" s="117"/>
      <c r="C157" s="117"/>
      <c r="D157" s="212"/>
      <c r="E157" s="117"/>
      <c r="F157" s="117"/>
    </row>
    <row r="158" spans="2:4" ht="12.75">
      <c r="B158" s="36"/>
      <c r="C158" s="36"/>
      <c r="D158" s="36"/>
    </row>
    <row r="159" spans="2:4" ht="12.75">
      <c r="B159" s="36"/>
      <c r="C159" s="36"/>
      <c r="D159" s="36"/>
    </row>
    <row r="160" spans="2:3" ht="12.75">
      <c r="B160" s="36"/>
      <c r="C160" s="36"/>
    </row>
    <row r="161" spans="2:3" ht="12.75">
      <c r="B161" s="36"/>
      <c r="C161" s="36"/>
    </row>
    <row r="162" spans="2:4" ht="12.75">
      <c r="B162" s="79"/>
      <c r="C162" s="79"/>
      <c r="D162" s="79"/>
    </row>
    <row r="163" spans="1:4" ht="12.75">
      <c r="A163" s="44"/>
      <c r="B163" s="36"/>
      <c r="C163" s="36"/>
      <c r="D163" s="36"/>
    </row>
  </sheetData>
  <mergeCells count="18">
    <mergeCell ref="A120:F120"/>
    <mergeCell ref="A121:F121"/>
    <mergeCell ref="A66:F66"/>
    <mergeCell ref="E116:F116"/>
    <mergeCell ref="A118:F118"/>
    <mergeCell ref="A119:F119"/>
    <mergeCell ref="E117:F117"/>
    <mergeCell ref="E61:F61"/>
    <mergeCell ref="A63:F63"/>
    <mergeCell ref="A64:F64"/>
    <mergeCell ref="A65:F65"/>
    <mergeCell ref="E62:F62"/>
    <mergeCell ref="A6:F6"/>
    <mergeCell ref="E1:F1"/>
    <mergeCell ref="A3:F3"/>
    <mergeCell ref="A4:F4"/>
    <mergeCell ref="A5:F5"/>
    <mergeCell ref="E2:F2"/>
  </mergeCells>
  <printOptions/>
  <pageMargins left="0.7874015748031497" right="0.5905511811023623" top="0.6" bottom="0.7874015748031497" header="0" footer="0"/>
  <pageSetup horizontalDpi="600" verticalDpi="600" orientation="portrait" scale="90" r:id="rId1"/>
  <rowBreaks count="2" manualBreakCount="2">
    <brk id="60" max="5" man="1"/>
    <brk id="115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0">
      <selection activeCell="I14" sqref="I14"/>
    </sheetView>
  </sheetViews>
  <sheetFormatPr defaultColWidth="9.140625" defaultRowHeight="12.75"/>
  <cols>
    <col min="1" max="1" width="44.8515625" style="2" customWidth="1"/>
    <col min="2" max="3" width="10.7109375" style="25" bestFit="1" customWidth="1"/>
    <col min="4" max="4" width="8.8515625" style="25" bestFit="1" customWidth="1"/>
    <col min="5" max="5" width="9.7109375" style="25" customWidth="1"/>
    <col min="6" max="6" width="6.57421875" style="2" bestFit="1" customWidth="1"/>
    <col min="7" max="16384" width="11.421875" style="2" customWidth="1"/>
  </cols>
  <sheetData>
    <row r="1" spans="5:6" ht="12" customHeight="1">
      <c r="E1" s="246" t="s">
        <v>153</v>
      </c>
      <c r="F1" s="246"/>
    </row>
    <row r="2" spans="5:6" ht="12" customHeight="1">
      <c r="E2" s="253" t="s">
        <v>434</v>
      </c>
      <c r="F2" s="246"/>
    </row>
    <row r="3" spans="1:6" ht="13.5" customHeight="1">
      <c r="A3" s="245" t="s">
        <v>403</v>
      </c>
      <c r="B3" s="245"/>
      <c r="C3" s="245"/>
      <c r="D3" s="245"/>
      <c r="E3" s="245"/>
      <c r="F3" s="245"/>
    </row>
    <row r="4" spans="1:6" ht="13.5" customHeight="1">
      <c r="A4" s="247" t="s">
        <v>585</v>
      </c>
      <c r="B4" s="247"/>
      <c r="C4" s="247"/>
      <c r="D4" s="247"/>
      <c r="E4" s="247"/>
      <c r="F4" s="247"/>
    </row>
    <row r="5" spans="1:6" ht="13.5" customHeight="1">
      <c r="A5" s="245" t="s">
        <v>414</v>
      </c>
      <c r="B5" s="245"/>
      <c r="C5" s="245"/>
      <c r="D5" s="245"/>
      <c r="E5" s="245"/>
      <c r="F5" s="245"/>
    </row>
    <row r="6" spans="1:7" ht="13.5" customHeight="1">
      <c r="A6" s="245" t="s">
        <v>490</v>
      </c>
      <c r="B6" s="245"/>
      <c r="C6" s="245"/>
      <c r="D6" s="245"/>
      <c r="E6" s="245"/>
      <c r="F6" s="245"/>
      <c r="G6" s="41"/>
    </row>
    <row r="7" spans="1:7" ht="13.5" customHeight="1">
      <c r="A7" s="105"/>
      <c r="B7" s="105"/>
      <c r="C7" s="105"/>
      <c r="D7" s="105"/>
      <c r="E7" s="105"/>
      <c r="F7" s="105"/>
      <c r="G7" s="41"/>
    </row>
    <row r="8" spans="1:7" ht="13.5" customHeight="1">
      <c r="A8" s="105"/>
      <c r="B8" s="105"/>
      <c r="C8" s="105"/>
      <c r="D8" s="105"/>
      <c r="E8" s="105"/>
      <c r="F8" s="105"/>
      <c r="G8" s="41"/>
    </row>
    <row r="9" spans="1:6" ht="10.5" customHeight="1">
      <c r="A9" s="19"/>
      <c r="B9" s="19"/>
      <c r="C9" s="19"/>
      <c r="D9" s="19"/>
      <c r="E9" s="19"/>
      <c r="F9" s="19"/>
    </row>
    <row r="10" spans="1:6" ht="12" customHeight="1">
      <c r="A10" s="83"/>
      <c r="B10" s="83"/>
      <c r="C10" s="83"/>
      <c r="D10" s="83"/>
      <c r="E10" s="83"/>
      <c r="F10" s="3"/>
    </row>
    <row r="11" spans="1:6" ht="12" customHeight="1">
      <c r="A11" s="108" t="s">
        <v>19</v>
      </c>
      <c r="B11" s="109" t="s">
        <v>487</v>
      </c>
      <c r="C11" s="109" t="s">
        <v>488</v>
      </c>
      <c r="D11" s="109" t="s">
        <v>489</v>
      </c>
      <c r="E11" s="108" t="s">
        <v>20</v>
      </c>
      <c r="F11" s="98" t="s">
        <v>21</v>
      </c>
    </row>
    <row r="12" spans="1:6" ht="12" customHeight="1">
      <c r="A12" s="83"/>
      <c r="B12" s="83"/>
      <c r="C12" s="83"/>
      <c r="D12" s="83"/>
      <c r="E12" s="83"/>
      <c r="F12" s="3"/>
    </row>
    <row r="13" spans="1:6" ht="6" customHeight="1">
      <c r="A13" s="3"/>
      <c r="B13" s="26"/>
      <c r="C13" s="26"/>
      <c r="D13" s="26"/>
      <c r="E13" s="26"/>
      <c r="F13" s="3"/>
    </row>
    <row r="14" spans="1:7" ht="12" customHeight="1">
      <c r="A14" s="2" t="s">
        <v>423</v>
      </c>
      <c r="B14" s="167">
        <v>5199.68</v>
      </c>
      <c r="C14" s="167"/>
      <c r="D14" s="167"/>
      <c r="E14" s="167">
        <f>SUM(B14:D14)</f>
        <v>5199.68</v>
      </c>
      <c r="F14" s="172">
        <f aca="true" t="shared" si="0" ref="F14:F54">(E14/$E$56*100)</f>
        <v>2.4840398974735427</v>
      </c>
      <c r="G14" s="117"/>
    </row>
    <row r="15" spans="1:7" ht="12" customHeight="1">
      <c r="A15" s="2" t="s">
        <v>221</v>
      </c>
      <c r="B15" s="167">
        <v>11000</v>
      </c>
      <c r="C15" s="167"/>
      <c r="D15" s="167">
        <f>-450</f>
        <v>-450</v>
      </c>
      <c r="E15" s="167">
        <f>SUM(B15:D15)</f>
        <v>10550</v>
      </c>
      <c r="F15" s="172">
        <f t="shared" si="0"/>
        <v>5.040044948601813</v>
      </c>
      <c r="G15" s="117"/>
    </row>
    <row r="16" spans="1:7" ht="12" customHeight="1">
      <c r="A16" s="2" t="s">
        <v>453</v>
      </c>
      <c r="B16" s="167">
        <v>2050</v>
      </c>
      <c r="C16" s="167"/>
      <c r="D16" s="167"/>
      <c r="E16" s="167">
        <f>SUM(B16:D16)</f>
        <v>2050</v>
      </c>
      <c r="F16" s="172">
        <f t="shared" si="0"/>
        <v>0.9793452269794991</v>
      </c>
      <c r="G16" s="117"/>
    </row>
    <row r="17" spans="1:7" ht="12" customHeight="1">
      <c r="A17" s="2" t="s">
        <v>86</v>
      </c>
      <c r="B17" s="167">
        <v>-2000</v>
      </c>
      <c r="C17" s="167"/>
      <c r="D17" s="167"/>
      <c r="E17" s="167">
        <f>SUM(B17:D17)</f>
        <v>-2000</v>
      </c>
      <c r="F17" s="172">
        <f t="shared" si="0"/>
        <v>-0.9554587580287797</v>
      </c>
      <c r="G17" s="117"/>
    </row>
    <row r="18" spans="1:7" ht="12" customHeight="1">
      <c r="A18" s="8" t="s">
        <v>87</v>
      </c>
      <c r="B18" s="213">
        <v>1150</v>
      </c>
      <c r="C18" s="213">
        <v>2200</v>
      </c>
      <c r="D18" s="213"/>
      <c r="E18" s="167">
        <f>SUM(B18:D18)</f>
        <v>3350</v>
      </c>
      <c r="F18" s="172">
        <f t="shared" si="0"/>
        <v>1.600393419698206</v>
      </c>
      <c r="G18" s="117"/>
    </row>
    <row r="19" spans="1:7" ht="12" customHeight="1">
      <c r="A19" s="8" t="s">
        <v>88</v>
      </c>
      <c r="B19" s="213">
        <v>3450</v>
      </c>
      <c r="C19" s="213">
        <v>6900</v>
      </c>
      <c r="D19" s="213">
        <f>-5000</f>
        <v>-5000</v>
      </c>
      <c r="E19" s="167">
        <f aca="true" t="shared" si="1" ref="E19:E33">SUM(B19:D19)</f>
        <v>5350</v>
      </c>
      <c r="F19" s="172">
        <f t="shared" si="0"/>
        <v>2.555852177726986</v>
      </c>
      <c r="G19" s="117"/>
    </row>
    <row r="20" spans="1:7" ht="12" customHeight="1">
      <c r="A20" s="8" t="s">
        <v>259</v>
      </c>
      <c r="B20" s="213">
        <v>4900</v>
      </c>
      <c r="C20" s="213"/>
      <c r="D20" s="213"/>
      <c r="E20" s="167">
        <f t="shared" si="1"/>
        <v>4900</v>
      </c>
      <c r="F20" s="172">
        <f t="shared" si="0"/>
        <v>2.34087395717051</v>
      </c>
      <c r="G20" s="117"/>
    </row>
    <row r="21" spans="1:7" ht="12" customHeight="1">
      <c r="A21" s="8" t="s">
        <v>181</v>
      </c>
      <c r="B21" s="213">
        <v>28346</v>
      </c>
      <c r="C21" s="213">
        <v>5200</v>
      </c>
      <c r="D21" s="213">
        <v>3000</v>
      </c>
      <c r="E21" s="167">
        <f>SUM(B21:D21)</f>
        <v>36546</v>
      </c>
      <c r="F21" s="172">
        <f t="shared" si="0"/>
        <v>17.45909788545989</v>
      </c>
      <c r="G21" s="213"/>
    </row>
    <row r="22" spans="1:7" ht="12" customHeight="1">
      <c r="A22" s="8" t="s">
        <v>448</v>
      </c>
      <c r="B22" s="213">
        <v>4700</v>
      </c>
      <c r="C22" s="213">
        <v>1100</v>
      </c>
      <c r="D22" s="189"/>
      <c r="E22" s="167">
        <f t="shared" si="1"/>
        <v>5800</v>
      </c>
      <c r="F22" s="172">
        <f t="shared" si="0"/>
        <v>2.770830398283461</v>
      </c>
      <c r="G22" s="213"/>
    </row>
    <row r="23" spans="1:7" ht="12" customHeight="1">
      <c r="A23" s="8" t="s">
        <v>215</v>
      </c>
      <c r="B23" s="213">
        <v>12700</v>
      </c>
      <c r="C23" s="213"/>
      <c r="D23" s="213">
        <f>-1800</f>
        <v>-1800</v>
      </c>
      <c r="E23" s="167">
        <f t="shared" si="1"/>
        <v>10900</v>
      </c>
      <c r="F23" s="172">
        <f t="shared" si="0"/>
        <v>5.207250231256849</v>
      </c>
      <c r="G23" s="213"/>
    </row>
    <row r="24" spans="1:7" ht="12" customHeight="1">
      <c r="A24" s="2" t="s">
        <v>224</v>
      </c>
      <c r="B24" s="213">
        <v>1200</v>
      </c>
      <c r="C24" s="213">
        <v>5100</v>
      </c>
      <c r="D24" s="189"/>
      <c r="E24" s="167">
        <f t="shared" si="1"/>
        <v>6300</v>
      </c>
      <c r="F24" s="172">
        <f t="shared" si="0"/>
        <v>3.009695087790656</v>
      </c>
      <c r="G24" s="213"/>
    </row>
    <row r="25" spans="1:7" ht="12" customHeight="1">
      <c r="A25" s="2" t="s">
        <v>225</v>
      </c>
      <c r="B25" s="213">
        <v>17500</v>
      </c>
      <c r="C25" s="213"/>
      <c r="D25" s="189"/>
      <c r="E25" s="167">
        <f t="shared" si="1"/>
        <v>17500</v>
      </c>
      <c r="F25" s="172">
        <f t="shared" si="0"/>
        <v>8.360264132751823</v>
      </c>
      <c r="G25" s="213"/>
    </row>
    <row r="26" spans="1:7" ht="12" customHeight="1">
      <c r="A26" s="2" t="s">
        <v>280</v>
      </c>
      <c r="B26" s="213">
        <v>8150</v>
      </c>
      <c r="C26" s="213"/>
      <c r="D26" s="213"/>
      <c r="E26" s="167">
        <f t="shared" si="1"/>
        <v>8150</v>
      </c>
      <c r="F26" s="172">
        <f t="shared" si="0"/>
        <v>3.893494438967277</v>
      </c>
      <c r="G26" s="117"/>
    </row>
    <row r="27" spans="1:7" ht="12" customHeight="1">
      <c r="A27" s="2" t="s">
        <v>382</v>
      </c>
      <c r="B27" s="213">
        <v>4000</v>
      </c>
      <c r="C27" s="213"/>
      <c r="D27" s="213"/>
      <c r="E27" s="167">
        <f t="shared" si="1"/>
        <v>4000</v>
      </c>
      <c r="F27" s="172">
        <f t="shared" si="0"/>
        <v>1.9109175160575593</v>
      </c>
      <c r="G27" s="117"/>
    </row>
    <row r="28" spans="1:7" ht="12" customHeight="1">
      <c r="A28" s="2" t="s">
        <v>369</v>
      </c>
      <c r="B28" s="213">
        <v>7500</v>
      </c>
      <c r="C28" s="213"/>
      <c r="D28" s="213"/>
      <c r="E28" s="167">
        <f t="shared" si="1"/>
        <v>7500</v>
      </c>
      <c r="F28" s="172">
        <f t="shared" si="0"/>
        <v>3.582970342607924</v>
      </c>
      <c r="G28" s="117"/>
    </row>
    <row r="29" spans="1:7" ht="12" customHeight="1">
      <c r="A29" s="2" t="s">
        <v>226</v>
      </c>
      <c r="B29" s="213">
        <v>3700</v>
      </c>
      <c r="C29" s="213"/>
      <c r="D29" s="213"/>
      <c r="E29" s="167">
        <f t="shared" si="1"/>
        <v>3700</v>
      </c>
      <c r="F29" s="172">
        <f t="shared" si="0"/>
        <v>1.7675987023532422</v>
      </c>
      <c r="G29" s="117"/>
    </row>
    <row r="30" spans="1:7" ht="12" customHeight="1">
      <c r="A30" s="2" t="s">
        <v>182</v>
      </c>
      <c r="B30" s="213">
        <v>450</v>
      </c>
      <c r="C30" s="213">
        <v>1900</v>
      </c>
      <c r="D30" s="213"/>
      <c r="E30" s="167">
        <f t="shared" si="1"/>
        <v>2350</v>
      </c>
      <c r="F30" s="172">
        <f t="shared" si="0"/>
        <v>1.1226640406838162</v>
      </c>
      <c r="G30" s="117"/>
    </row>
    <row r="31" spans="1:7" ht="12" customHeight="1">
      <c r="A31" s="2" t="s">
        <v>183</v>
      </c>
      <c r="B31" s="213">
        <v>8200</v>
      </c>
      <c r="C31" s="213"/>
      <c r="D31" s="213"/>
      <c r="E31" s="167">
        <f t="shared" si="1"/>
        <v>8200</v>
      </c>
      <c r="F31" s="172">
        <f t="shared" si="0"/>
        <v>3.9173809079179964</v>
      </c>
      <c r="G31" s="117"/>
    </row>
    <row r="32" spans="1:7" ht="12" customHeight="1">
      <c r="A32" s="2" t="s">
        <v>91</v>
      </c>
      <c r="B32" s="213">
        <v>3000</v>
      </c>
      <c r="C32" s="213"/>
      <c r="D32" s="213"/>
      <c r="E32" s="167">
        <f t="shared" si="1"/>
        <v>3000</v>
      </c>
      <c r="F32" s="172">
        <f t="shared" si="0"/>
        <v>1.4331881370431696</v>
      </c>
      <c r="G32" s="117"/>
    </row>
    <row r="33" spans="1:7" ht="12" customHeight="1">
      <c r="A33" s="2" t="s">
        <v>184</v>
      </c>
      <c r="B33" s="213"/>
      <c r="C33" s="213"/>
      <c r="D33" s="213">
        <v>5623</v>
      </c>
      <c r="E33" s="167">
        <f t="shared" si="1"/>
        <v>5623</v>
      </c>
      <c r="F33" s="172">
        <f t="shared" si="0"/>
        <v>2.6862722981979137</v>
      </c>
      <c r="G33" s="117"/>
    </row>
    <row r="34" spans="1:7" ht="12" customHeight="1">
      <c r="A34" s="2" t="s">
        <v>147</v>
      </c>
      <c r="B34" s="213"/>
      <c r="C34" s="213">
        <v>1100</v>
      </c>
      <c r="D34" s="213"/>
      <c r="E34" s="167">
        <f aca="true" t="shared" si="2" ref="E34:E54">SUM(B34:D34)</f>
        <v>1100</v>
      </c>
      <c r="F34" s="172">
        <f t="shared" si="0"/>
        <v>0.5255023169158288</v>
      </c>
      <c r="G34" s="213"/>
    </row>
    <row r="35" spans="1:7" ht="12" customHeight="1">
      <c r="A35" s="2" t="s">
        <v>168</v>
      </c>
      <c r="B35" s="213">
        <v>3150</v>
      </c>
      <c r="C35" s="213"/>
      <c r="D35" s="213"/>
      <c r="E35" s="167">
        <f t="shared" si="2"/>
        <v>3150</v>
      </c>
      <c r="F35" s="172">
        <f t="shared" si="0"/>
        <v>1.504847543895328</v>
      </c>
      <c r="G35" s="213"/>
    </row>
    <row r="36" spans="1:7" ht="12" customHeight="1">
      <c r="A36" s="2" t="s">
        <v>93</v>
      </c>
      <c r="B36" s="213"/>
      <c r="C36" s="213">
        <v>1100</v>
      </c>
      <c r="D36" s="213"/>
      <c r="E36" s="167">
        <f t="shared" si="2"/>
        <v>1100</v>
      </c>
      <c r="F36" s="172">
        <f t="shared" si="0"/>
        <v>0.5255023169158288</v>
      </c>
      <c r="G36" s="213"/>
    </row>
    <row r="37" spans="1:7" ht="12" customHeight="1">
      <c r="A37" s="2" t="s">
        <v>160</v>
      </c>
      <c r="B37" s="213"/>
      <c r="C37" s="213">
        <v>1200</v>
      </c>
      <c r="D37" s="213"/>
      <c r="E37" s="167">
        <f t="shared" si="2"/>
        <v>1200</v>
      </c>
      <c r="F37" s="172">
        <f t="shared" si="0"/>
        <v>0.5732752548172678</v>
      </c>
      <c r="G37" s="213"/>
    </row>
    <row r="38" spans="1:7" ht="12" customHeight="1">
      <c r="A38" s="2" t="s">
        <v>189</v>
      </c>
      <c r="B38" s="213">
        <v>2500</v>
      </c>
      <c r="C38" s="213"/>
      <c r="D38" s="213"/>
      <c r="E38" s="167">
        <f t="shared" si="2"/>
        <v>2500</v>
      </c>
      <c r="F38" s="172">
        <f t="shared" si="0"/>
        <v>1.1943234475359745</v>
      </c>
      <c r="G38" s="213"/>
    </row>
    <row r="39" spans="1:7" ht="12" customHeight="1">
      <c r="A39" s="2" t="s">
        <v>173</v>
      </c>
      <c r="B39" s="213">
        <v>19474</v>
      </c>
      <c r="C39" s="213"/>
      <c r="D39" s="213"/>
      <c r="E39" s="167">
        <f t="shared" si="2"/>
        <v>19474</v>
      </c>
      <c r="F39" s="172">
        <f t="shared" si="0"/>
        <v>9.303301926926228</v>
      </c>
      <c r="G39" s="213"/>
    </row>
    <row r="40" spans="1:7" ht="12" customHeight="1">
      <c r="A40" s="2" t="s">
        <v>357</v>
      </c>
      <c r="B40" s="213">
        <v>-5000</v>
      </c>
      <c r="C40" s="213"/>
      <c r="D40" s="213"/>
      <c r="E40" s="167">
        <f t="shared" si="2"/>
        <v>-5000</v>
      </c>
      <c r="F40" s="172">
        <f t="shared" si="0"/>
        <v>-2.388646895071949</v>
      </c>
      <c r="G40" s="213"/>
    </row>
    <row r="41" spans="1:7" ht="12" customHeight="1">
      <c r="A41" s="2" t="s">
        <v>460</v>
      </c>
      <c r="B41" s="213">
        <f>-2500-2500</f>
        <v>-5000</v>
      </c>
      <c r="C41" s="213"/>
      <c r="D41" s="213"/>
      <c r="E41" s="167">
        <f t="shared" si="2"/>
        <v>-5000</v>
      </c>
      <c r="F41" s="172">
        <f t="shared" si="0"/>
        <v>-2.388646895071949</v>
      </c>
      <c r="G41" s="213"/>
    </row>
    <row r="42" spans="1:7" ht="12" customHeight="1">
      <c r="A42" s="2" t="s">
        <v>105</v>
      </c>
      <c r="B42" s="213"/>
      <c r="C42" s="213"/>
      <c r="D42" s="213">
        <v>4000</v>
      </c>
      <c r="E42" s="167">
        <f t="shared" si="2"/>
        <v>4000</v>
      </c>
      <c r="F42" s="172">
        <f t="shared" si="0"/>
        <v>1.9109175160575593</v>
      </c>
      <c r="G42" s="213"/>
    </row>
    <row r="43" spans="1:7" ht="12" customHeight="1">
      <c r="A43" s="2" t="s">
        <v>282</v>
      </c>
      <c r="B43" s="213">
        <v>8000</v>
      </c>
      <c r="C43" s="213"/>
      <c r="D43" s="213">
        <f>-2000-2000-2000-2000</f>
        <v>-8000</v>
      </c>
      <c r="E43" s="167">
        <f t="shared" si="2"/>
        <v>0</v>
      </c>
      <c r="F43" s="172">
        <f t="shared" si="0"/>
        <v>0</v>
      </c>
      <c r="G43" s="117"/>
    </row>
    <row r="44" spans="1:7" ht="12" customHeight="1">
      <c r="A44" s="2" t="s">
        <v>580</v>
      </c>
      <c r="B44" s="213"/>
      <c r="C44" s="213"/>
      <c r="D44" s="213">
        <v>5000</v>
      </c>
      <c r="E44" s="167">
        <f t="shared" si="2"/>
        <v>5000</v>
      </c>
      <c r="F44" s="172">
        <f t="shared" si="0"/>
        <v>2.388646895071949</v>
      </c>
      <c r="G44" s="117"/>
    </row>
    <row r="45" spans="1:7" ht="12" customHeight="1">
      <c r="A45" s="2" t="s">
        <v>283</v>
      </c>
      <c r="B45" s="213">
        <v>9000</v>
      </c>
      <c r="C45" s="213"/>
      <c r="D45" s="2"/>
      <c r="E45" s="167">
        <f t="shared" si="2"/>
        <v>9000</v>
      </c>
      <c r="F45" s="172">
        <f t="shared" si="0"/>
        <v>4.299564411129508</v>
      </c>
      <c r="G45" s="117"/>
    </row>
    <row r="46" spans="1:7" ht="12" customHeight="1">
      <c r="A46" s="2" t="s">
        <v>230</v>
      </c>
      <c r="B46" s="213">
        <v>-25298</v>
      </c>
      <c r="C46" s="213"/>
      <c r="D46" s="213"/>
      <c r="E46" s="167">
        <f t="shared" si="2"/>
        <v>-25298</v>
      </c>
      <c r="F46" s="172">
        <f t="shared" si="0"/>
        <v>-12.085597830306034</v>
      </c>
      <c r="G46" s="117"/>
    </row>
    <row r="47" spans="1:7" ht="12" customHeight="1">
      <c r="A47" s="2" t="s">
        <v>383</v>
      </c>
      <c r="B47" s="213">
        <v>17247.68</v>
      </c>
      <c r="C47" s="213"/>
      <c r="D47" s="213"/>
      <c r="E47" s="167">
        <f t="shared" si="2"/>
        <v>17247.68</v>
      </c>
      <c r="F47" s="172">
        <f t="shared" si="0"/>
        <v>8.239723455838911</v>
      </c>
      <c r="G47" s="213"/>
    </row>
    <row r="48" spans="1:7" ht="12" customHeight="1">
      <c r="A48" s="2" t="s">
        <v>384</v>
      </c>
      <c r="B48" s="213">
        <v>1500</v>
      </c>
      <c r="C48" s="213"/>
      <c r="D48" s="213"/>
      <c r="E48" s="167">
        <f t="shared" si="2"/>
        <v>1500</v>
      </c>
      <c r="F48" s="172">
        <f t="shared" si="0"/>
        <v>0.7165940685215848</v>
      </c>
      <c r="G48" s="213"/>
    </row>
    <row r="49" spans="1:7" ht="12" customHeight="1">
      <c r="A49" s="2" t="s">
        <v>162</v>
      </c>
      <c r="B49" s="213">
        <v>2500</v>
      </c>
      <c r="C49" s="213"/>
      <c r="D49" s="213"/>
      <c r="E49" s="167">
        <f t="shared" si="2"/>
        <v>2500</v>
      </c>
      <c r="F49" s="172">
        <f t="shared" si="0"/>
        <v>1.1943234475359745</v>
      </c>
      <c r="G49" s="213"/>
    </row>
    <row r="50" spans="1:7" ht="12" customHeight="1">
      <c r="A50" s="2" t="s">
        <v>106</v>
      </c>
      <c r="B50" s="213"/>
      <c r="C50" s="213">
        <v>4431.17</v>
      </c>
      <c r="D50" s="2"/>
      <c r="E50" s="167">
        <f t="shared" si="2"/>
        <v>4431.17</v>
      </c>
      <c r="F50" s="172">
        <f t="shared" si="0"/>
        <v>2.1169000924071937</v>
      </c>
      <c r="G50" s="213"/>
    </row>
    <row r="51" spans="1:7" ht="12" customHeight="1">
      <c r="A51" s="2" t="s">
        <v>288</v>
      </c>
      <c r="B51" s="213">
        <v>8000</v>
      </c>
      <c r="C51" s="213"/>
      <c r="D51" s="213"/>
      <c r="E51" s="167">
        <f t="shared" si="2"/>
        <v>8000</v>
      </c>
      <c r="F51" s="172">
        <f t="shared" si="0"/>
        <v>3.8218350321151187</v>
      </c>
      <c r="G51" s="213"/>
    </row>
    <row r="52" spans="1:7" ht="12" customHeight="1">
      <c r="A52" s="2" t="s">
        <v>286</v>
      </c>
      <c r="B52" s="213"/>
      <c r="C52" s="213"/>
      <c r="D52" s="213">
        <v>7450</v>
      </c>
      <c r="E52" s="167">
        <f t="shared" si="2"/>
        <v>7450</v>
      </c>
      <c r="F52" s="172">
        <f t="shared" si="0"/>
        <v>3.5590838736572037</v>
      </c>
      <c r="G52" s="213"/>
    </row>
    <row r="53" spans="1:7" ht="12" customHeight="1">
      <c r="A53" s="2" t="s">
        <v>191</v>
      </c>
      <c r="B53" s="213"/>
      <c r="C53" s="213"/>
      <c r="D53" s="213">
        <v>5000</v>
      </c>
      <c r="E53" s="167">
        <f t="shared" si="2"/>
        <v>5000</v>
      </c>
      <c r="F53" s="172">
        <f t="shared" si="0"/>
        <v>2.388646895071949</v>
      </c>
      <c r="G53" s="213"/>
    </row>
    <row r="54" spans="1:7" ht="12" customHeight="1">
      <c r="A54" s="2" t="s">
        <v>368</v>
      </c>
      <c r="B54" s="213">
        <v>3000</v>
      </c>
      <c r="C54" s="213"/>
      <c r="D54" s="213"/>
      <c r="E54" s="167">
        <f t="shared" si="2"/>
        <v>3000</v>
      </c>
      <c r="F54" s="172">
        <f t="shared" si="0"/>
        <v>1.4331881370431696</v>
      </c>
      <c r="G54" s="213"/>
    </row>
    <row r="55" spans="2:7" ht="6" customHeight="1">
      <c r="B55" s="213"/>
      <c r="C55" s="213"/>
      <c r="D55" s="213"/>
      <c r="E55" s="167"/>
      <c r="F55" s="172"/>
      <c r="G55" s="213"/>
    </row>
    <row r="56" spans="1:7" ht="12" customHeight="1" thickBot="1">
      <c r="A56" s="6" t="s">
        <v>126</v>
      </c>
      <c r="B56" s="214">
        <f>SUM(B14:B55)</f>
        <v>164269.36</v>
      </c>
      <c r="C56" s="214">
        <f>SUM(C14:C55)</f>
        <v>30231.17</v>
      </c>
      <c r="D56" s="214">
        <f>SUM(D14:D55)</f>
        <v>14823</v>
      </c>
      <c r="E56" s="214">
        <f>SUM(E14:E55)</f>
        <v>209323.53</v>
      </c>
      <c r="F56" s="214">
        <f>SUM(F14:F55)</f>
        <v>100.00000000000001</v>
      </c>
      <c r="G56" s="213"/>
    </row>
    <row r="57" spans="2:7" ht="12" customHeight="1" thickTop="1">
      <c r="B57" s="213"/>
      <c r="C57" s="213"/>
      <c r="D57" s="213"/>
      <c r="E57" s="167"/>
      <c r="F57" s="172"/>
      <c r="G57" s="213"/>
    </row>
    <row r="58" spans="2:7" ht="12" customHeight="1">
      <c r="B58" s="213"/>
      <c r="C58" s="213"/>
      <c r="D58" s="213"/>
      <c r="E58" s="167"/>
      <c r="F58" s="172"/>
      <c r="G58" s="213"/>
    </row>
    <row r="59" spans="2:7" ht="12" customHeight="1">
      <c r="B59" s="117"/>
      <c r="C59" s="117"/>
      <c r="D59" s="213"/>
      <c r="E59" s="117"/>
      <c r="F59" s="117"/>
      <c r="G59" s="213"/>
    </row>
    <row r="60" spans="2:7" ht="12" customHeight="1">
      <c r="B60" s="117"/>
      <c r="C60" s="117"/>
      <c r="D60" s="117"/>
      <c r="E60" s="117"/>
      <c r="F60" s="117"/>
      <c r="G60" s="213"/>
    </row>
    <row r="61" spans="2:7" ht="12" customHeight="1">
      <c r="B61" s="37"/>
      <c r="C61" s="37"/>
      <c r="D61" s="37"/>
      <c r="E61" s="43"/>
      <c r="F61" s="39"/>
      <c r="G61" s="15"/>
    </row>
    <row r="62" spans="2:5" ht="12.75">
      <c r="B62" s="2"/>
      <c r="C62" s="2"/>
      <c r="D62" s="2"/>
      <c r="E62" s="2"/>
    </row>
    <row r="64" spans="2:4" ht="12.75">
      <c r="B64" s="81"/>
      <c r="C64" s="81"/>
      <c r="D64" s="27"/>
    </row>
    <row r="66" spans="2:4" ht="12.75">
      <c r="B66" s="27"/>
      <c r="C66" s="27"/>
      <c r="D66" s="27"/>
    </row>
    <row r="70" ht="12.75">
      <c r="D70" s="82"/>
    </row>
    <row r="73" ht="12.75">
      <c r="D73" s="82"/>
    </row>
  </sheetData>
  <mergeCells count="6">
    <mergeCell ref="A6:F6"/>
    <mergeCell ref="E1:F1"/>
    <mergeCell ref="A3:F3"/>
    <mergeCell ref="A4:F4"/>
    <mergeCell ref="A5:F5"/>
    <mergeCell ref="E2:F2"/>
  </mergeCells>
  <printOptions/>
  <pageMargins left="0.984251968503937" right="0.5905511811023623" top="0.6" bottom="0.71" header="0" footer="0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9"/>
  <sheetViews>
    <sheetView workbookViewId="0" topLeftCell="A130">
      <selection activeCell="A118" sqref="A118"/>
    </sheetView>
  </sheetViews>
  <sheetFormatPr defaultColWidth="9.140625" defaultRowHeight="12.75"/>
  <cols>
    <col min="1" max="1" width="37.57421875" style="2" customWidth="1"/>
    <col min="2" max="2" width="11.7109375" style="25" bestFit="1" customWidth="1"/>
    <col min="3" max="3" width="11.28125" style="25" customWidth="1"/>
    <col min="4" max="4" width="10.8515625" style="25" bestFit="1" customWidth="1"/>
    <col min="5" max="5" width="12.00390625" style="25" bestFit="1" customWidth="1"/>
    <col min="6" max="6" width="6.57421875" style="2" bestFit="1" customWidth="1"/>
    <col min="7" max="16384" width="11.421875" style="2" customWidth="1"/>
  </cols>
  <sheetData>
    <row r="1" spans="5:6" ht="12.75">
      <c r="E1" s="246" t="s">
        <v>154</v>
      </c>
      <c r="F1" s="246"/>
    </row>
    <row r="2" spans="5:6" ht="12.75">
      <c r="E2" s="253" t="s">
        <v>431</v>
      </c>
      <c r="F2" s="246"/>
    </row>
    <row r="3" spans="1:6" ht="15">
      <c r="A3" s="245" t="s">
        <v>403</v>
      </c>
      <c r="B3" s="245"/>
      <c r="C3" s="245"/>
      <c r="D3" s="245"/>
      <c r="E3" s="245"/>
      <c r="F3" s="245"/>
    </row>
    <row r="4" spans="1:6" ht="15">
      <c r="A4" s="247" t="s">
        <v>585</v>
      </c>
      <c r="B4" s="247"/>
      <c r="C4" s="247"/>
      <c r="D4" s="247"/>
      <c r="E4" s="247"/>
      <c r="F4" s="247"/>
    </row>
    <row r="5" spans="1:6" ht="15">
      <c r="A5" s="245" t="s">
        <v>415</v>
      </c>
      <c r="B5" s="245"/>
      <c r="C5" s="245"/>
      <c r="D5" s="245"/>
      <c r="E5" s="245"/>
      <c r="F5" s="245"/>
    </row>
    <row r="6" spans="1:7" ht="15">
      <c r="A6" s="245" t="s">
        <v>490</v>
      </c>
      <c r="B6" s="245"/>
      <c r="C6" s="245"/>
      <c r="D6" s="245"/>
      <c r="E6" s="245"/>
      <c r="F6" s="245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3"/>
      <c r="B8" s="83"/>
      <c r="C8" s="83"/>
      <c r="D8" s="83"/>
      <c r="E8" s="83"/>
      <c r="F8" s="3"/>
    </row>
    <row r="9" spans="1:6" ht="12.75">
      <c r="A9" s="108" t="s">
        <v>19</v>
      </c>
      <c r="B9" s="109" t="s">
        <v>487</v>
      </c>
      <c r="C9" s="109" t="s">
        <v>488</v>
      </c>
      <c r="D9" s="109" t="s">
        <v>489</v>
      </c>
      <c r="E9" s="108" t="s">
        <v>20</v>
      </c>
      <c r="F9" s="98" t="s">
        <v>21</v>
      </c>
    </row>
    <row r="10" spans="1:6" ht="12.75">
      <c r="A10" s="83"/>
      <c r="B10" s="83"/>
      <c r="C10" s="83"/>
      <c r="D10" s="83"/>
      <c r="E10" s="83"/>
      <c r="F10" s="3"/>
    </row>
    <row r="11" spans="1:6" ht="6" customHeight="1">
      <c r="A11" s="3"/>
      <c r="B11" s="26"/>
      <c r="C11" s="26"/>
      <c r="D11" s="36"/>
      <c r="E11" s="26"/>
      <c r="F11" s="3"/>
    </row>
    <row r="12" spans="1:6" ht="12.75">
      <c r="A12" s="8" t="s">
        <v>181</v>
      </c>
      <c r="B12" s="160">
        <v>286616.97</v>
      </c>
      <c r="C12" s="160"/>
      <c r="D12" s="160">
        <v>20410</v>
      </c>
      <c r="E12" s="160">
        <f aca="true" t="shared" si="0" ref="E12:E36">SUM(B12:D12)</f>
        <v>307026.97</v>
      </c>
      <c r="F12" s="161">
        <f aca="true" t="shared" si="1" ref="F12:F52">(E12/$E$146*100)</f>
        <v>0.9803987113766087</v>
      </c>
    </row>
    <row r="13" spans="1:6" ht="12.75">
      <c r="A13" s="2" t="s">
        <v>89</v>
      </c>
      <c r="B13" s="160">
        <v>61900</v>
      </c>
      <c r="C13" s="160">
        <v>76424.5</v>
      </c>
      <c r="D13" s="160">
        <v>6000</v>
      </c>
      <c r="E13" s="160">
        <f>SUM(B13:D13)</f>
        <v>144324.5</v>
      </c>
      <c r="F13" s="161">
        <f t="shared" si="1"/>
        <v>0.4608570830766866</v>
      </c>
    </row>
    <row r="14" spans="1:6" ht="12.75">
      <c r="A14" s="2" t="s">
        <v>109</v>
      </c>
      <c r="B14" s="160">
        <v>1177167.5</v>
      </c>
      <c r="C14" s="160">
        <v>466938</v>
      </c>
      <c r="D14" s="160">
        <v>936918.16</v>
      </c>
      <c r="E14" s="160">
        <f t="shared" si="0"/>
        <v>2581023.66</v>
      </c>
      <c r="F14" s="161">
        <f t="shared" si="1"/>
        <v>8.241726354842829</v>
      </c>
    </row>
    <row r="15" spans="1:6" ht="12.75">
      <c r="A15" s="2" t="s">
        <v>216</v>
      </c>
      <c r="B15" s="160">
        <v>183500</v>
      </c>
      <c r="C15" s="160">
        <v>10000</v>
      </c>
      <c r="D15" s="160"/>
      <c r="E15" s="160">
        <f>SUM(B15:D15)</f>
        <v>193500</v>
      </c>
      <c r="F15" s="161">
        <f t="shared" si="1"/>
        <v>0.6178843202321079</v>
      </c>
    </row>
    <row r="16" spans="1:6" ht="12.75">
      <c r="A16" s="2" t="s">
        <v>110</v>
      </c>
      <c r="B16" s="160">
        <v>42200</v>
      </c>
      <c r="C16" s="160">
        <v>53572.51</v>
      </c>
      <c r="D16" s="160">
        <v>175800</v>
      </c>
      <c r="E16" s="160">
        <f t="shared" si="0"/>
        <v>271572.51</v>
      </c>
      <c r="F16" s="161">
        <f t="shared" si="1"/>
        <v>0.8671855076748183</v>
      </c>
    </row>
    <row r="17" spans="1:6" ht="12.75">
      <c r="A17" s="2" t="s">
        <v>343</v>
      </c>
      <c r="B17" s="160">
        <v>273933.35</v>
      </c>
      <c r="C17" s="160">
        <v>120000</v>
      </c>
      <c r="D17" s="160">
        <v>3311009.14</v>
      </c>
      <c r="E17" s="160">
        <f t="shared" si="0"/>
        <v>3704942.49</v>
      </c>
      <c r="F17" s="161">
        <f t="shared" si="1"/>
        <v>11.830624661150923</v>
      </c>
    </row>
    <row r="18" spans="1:6" ht="12.75">
      <c r="A18" s="2" t="s">
        <v>229</v>
      </c>
      <c r="B18" s="160">
        <v>596989.32</v>
      </c>
      <c r="C18" s="160">
        <v>44537.37</v>
      </c>
      <c r="D18" s="160">
        <v>111966.4</v>
      </c>
      <c r="E18" s="160">
        <f t="shared" si="0"/>
        <v>753493.09</v>
      </c>
      <c r="F18" s="161">
        <f t="shared" si="1"/>
        <v>2.4060546031743697</v>
      </c>
    </row>
    <row r="19" spans="1:6" ht="12.75">
      <c r="A19" s="2" t="s">
        <v>344</v>
      </c>
      <c r="B19" s="160">
        <v>45000</v>
      </c>
      <c r="C19" s="160">
        <v>45000</v>
      </c>
      <c r="D19" s="160">
        <v>35000</v>
      </c>
      <c r="E19" s="160">
        <f t="shared" si="0"/>
        <v>125000</v>
      </c>
      <c r="F19" s="161">
        <f t="shared" si="1"/>
        <v>0.39915007766932037</v>
      </c>
    </row>
    <row r="20" spans="1:6" ht="12.75">
      <c r="A20" s="2" t="s">
        <v>187</v>
      </c>
      <c r="B20" s="160"/>
      <c r="C20" s="160"/>
      <c r="D20" s="160">
        <v>8880</v>
      </c>
      <c r="E20" s="160">
        <f t="shared" si="0"/>
        <v>8880</v>
      </c>
      <c r="F20" s="161">
        <f t="shared" si="1"/>
        <v>0.028355621517628517</v>
      </c>
    </row>
    <row r="21" spans="1:6" ht="12.75">
      <c r="A21" s="2" t="s">
        <v>188</v>
      </c>
      <c r="B21" s="160">
        <v>138726.5</v>
      </c>
      <c r="C21" s="160">
        <v>92154.5</v>
      </c>
      <c r="D21" s="160">
        <v>70058.5</v>
      </c>
      <c r="E21" s="160">
        <f t="shared" si="0"/>
        <v>300939.5</v>
      </c>
      <c r="F21" s="161">
        <f t="shared" si="1"/>
        <v>0.9609601983901315</v>
      </c>
    </row>
    <row r="22" spans="1:6" ht="12.75">
      <c r="A22" s="2" t="s">
        <v>250</v>
      </c>
      <c r="B22" s="160"/>
      <c r="C22" s="160">
        <v>73000</v>
      </c>
      <c r="D22" s="206"/>
      <c r="E22" s="160">
        <f t="shared" si="0"/>
        <v>73000</v>
      </c>
      <c r="F22" s="161">
        <f t="shared" si="1"/>
        <v>0.2331036453588831</v>
      </c>
    </row>
    <row r="23" spans="1:6" ht="12.75">
      <c r="A23" s="2" t="s">
        <v>249</v>
      </c>
      <c r="B23" s="160">
        <v>133047</v>
      </c>
      <c r="C23" s="160">
        <v>95891</v>
      </c>
      <c r="D23" s="160">
        <v>53999.5</v>
      </c>
      <c r="E23" s="160">
        <f t="shared" si="0"/>
        <v>282937.5</v>
      </c>
      <c r="F23" s="161">
        <f t="shared" si="1"/>
        <v>0.9034762008045066</v>
      </c>
    </row>
    <row r="24" spans="1:6" ht="12.75">
      <c r="A24" s="2" t="s">
        <v>173</v>
      </c>
      <c r="B24" s="160">
        <v>298804.2</v>
      </c>
      <c r="C24" s="160">
        <v>241941.1</v>
      </c>
      <c r="D24" s="160">
        <v>95675.7</v>
      </c>
      <c r="E24" s="160">
        <f t="shared" si="0"/>
        <v>636421</v>
      </c>
      <c r="F24" s="161">
        <f t="shared" si="1"/>
        <v>2.032219932643092</v>
      </c>
    </row>
    <row r="25" spans="1:6" ht="12.75">
      <c r="A25" s="2" t="s">
        <v>460</v>
      </c>
      <c r="B25" s="160">
        <v>41760</v>
      </c>
      <c r="C25" s="160"/>
      <c r="D25" s="206"/>
      <c r="E25" s="160">
        <f>SUM(B25:D25)</f>
        <v>41760</v>
      </c>
      <c r="F25" s="161">
        <f t="shared" si="1"/>
        <v>0.13334805794776655</v>
      </c>
    </row>
    <row r="26" spans="1:6" ht="12.75">
      <c r="A26" s="2" t="s">
        <v>105</v>
      </c>
      <c r="B26" s="160">
        <v>136500</v>
      </c>
      <c r="C26" s="160">
        <v>132000</v>
      </c>
      <c r="D26" s="160">
        <v>214000</v>
      </c>
      <c r="E26" s="160">
        <f t="shared" si="0"/>
        <v>482500</v>
      </c>
      <c r="F26" s="161">
        <f t="shared" si="1"/>
        <v>1.5407192998035766</v>
      </c>
    </row>
    <row r="27" spans="1:6" ht="12.75">
      <c r="A27" s="2" t="s">
        <v>111</v>
      </c>
      <c r="B27" s="160"/>
      <c r="C27" s="160">
        <v>65000</v>
      </c>
      <c r="D27" s="160">
        <v>85000</v>
      </c>
      <c r="E27" s="160">
        <f t="shared" si="0"/>
        <v>150000</v>
      </c>
      <c r="F27" s="161">
        <f t="shared" si="1"/>
        <v>0.47898009320318446</v>
      </c>
    </row>
    <row r="28" spans="1:6" ht="12.75">
      <c r="A28" s="2" t="s">
        <v>467</v>
      </c>
      <c r="B28" s="160">
        <v>40000</v>
      </c>
      <c r="C28" s="160"/>
      <c r="D28" s="206"/>
      <c r="E28" s="160">
        <f>SUM(B28:D28)</f>
        <v>40000</v>
      </c>
      <c r="F28" s="161">
        <f t="shared" si="1"/>
        <v>0.12772802485418253</v>
      </c>
    </row>
    <row r="29" spans="1:6" ht="12.75">
      <c r="A29" s="2" t="s">
        <v>281</v>
      </c>
      <c r="B29" s="160">
        <v>190000</v>
      </c>
      <c r="C29" s="160">
        <v>449608</v>
      </c>
      <c r="D29" s="160">
        <v>410375</v>
      </c>
      <c r="E29" s="160">
        <f t="shared" si="0"/>
        <v>1049983</v>
      </c>
      <c r="F29" s="161">
        <f t="shared" si="1"/>
        <v>3.352806368011728</v>
      </c>
    </row>
    <row r="30" spans="1:6" ht="12.75">
      <c r="A30" s="2" t="s">
        <v>282</v>
      </c>
      <c r="B30" s="160">
        <v>8000</v>
      </c>
      <c r="C30" s="160"/>
      <c r="D30" s="160">
        <f>100000-2000-2000-2000-2000</f>
        <v>92000</v>
      </c>
      <c r="E30" s="160">
        <f t="shared" si="0"/>
        <v>100000</v>
      </c>
      <c r="F30" s="161">
        <f t="shared" si="1"/>
        <v>0.31932006213545633</v>
      </c>
    </row>
    <row r="31" spans="1:6" ht="12.75">
      <c r="A31" s="2" t="s">
        <v>283</v>
      </c>
      <c r="B31" s="160"/>
      <c r="C31" s="160">
        <v>476172.14</v>
      </c>
      <c r="D31" s="160">
        <f>120000+130000+54000</f>
        <v>304000</v>
      </c>
      <c r="E31" s="160">
        <f t="shared" si="0"/>
        <v>780172.14</v>
      </c>
      <c r="F31" s="161">
        <f t="shared" si="1"/>
        <v>2.491246162211519</v>
      </c>
    </row>
    <row r="32" spans="1:6" ht="12.75">
      <c r="A32" s="2" t="s">
        <v>96</v>
      </c>
      <c r="B32" s="160">
        <v>230000</v>
      </c>
      <c r="C32" s="160">
        <v>590000</v>
      </c>
      <c r="D32" s="206"/>
      <c r="E32" s="160">
        <f t="shared" si="0"/>
        <v>820000</v>
      </c>
      <c r="F32" s="161">
        <f t="shared" si="1"/>
        <v>2.6184245095107417</v>
      </c>
    </row>
    <row r="33" spans="1:6" ht="12.75">
      <c r="A33" s="2" t="s">
        <v>97</v>
      </c>
      <c r="B33" s="160">
        <v>1479252</v>
      </c>
      <c r="C33" s="160">
        <v>11385</v>
      </c>
      <c r="D33" s="160">
        <v>300000</v>
      </c>
      <c r="E33" s="160">
        <f t="shared" si="0"/>
        <v>1790637</v>
      </c>
      <c r="F33" s="161">
        <f t="shared" si="1"/>
        <v>5.71786318102047</v>
      </c>
    </row>
    <row r="34" spans="1:6" ht="12.75">
      <c r="A34" s="2" t="s">
        <v>399</v>
      </c>
      <c r="B34" s="160"/>
      <c r="C34" s="160">
        <v>1026800</v>
      </c>
      <c r="D34" s="160">
        <v>100000</v>
      </c>
      <c r="E34" s="160">
        <f t="shared" si="0"/>
        <v>1126800</v>
      </c>
      <c r="F34" s="161">
        <f t="shared" si="1"/>
        <v>3.598098460142322</v>
      </c>
    </row>
    <row r="35" spans="1:6" ht="12.75">
      <c r="A35" s="2" t="s">
        <v>99</v>
      </c>
      <c r="B35" s="160">
        <v>50000</v>
      </c>
      <c r="C35" s="160">
        <v>50000</v>
      </c>
      <c r="D35" s="160">
        <v>50000</v>
      </c>
      <c r="E35" s="160">
        <f>SUM(B35:D35)</f>
        <v>150000</v>
      </c>
      <c r="F35" s="161">
        <f t="shared" si="1"/>
        <v>0.47898009320318446</v>
      </c>
    </row>
    <row r="36" spans="1:6" ht="12.75">
      <c r="A36" s="2" t="s">
        <v>400</v>
      </c>
      <c r="B36" s="160">
        <v>60000</v>
      </c>
      <c r="C36" s="160">
        <v>40000</v>
      </c>
      <c r="D36" s="160">
        <v>50000</v>
      </c>
      <c r="E36" s="160">
        <f t="shared" si="0"/>
        <v>150000</v>
      </c>
      <c r="F36" s="161">
        <f t="shared" si="1"/>
        <v>0.47898009320318446</v>
      </c>
    </row>
    <row r="37" spans="1:6" ht="12.75">
      <c r="A37" s="2" t="s">
        <v>98</v>
      </c>
      <c r="B37" s="160">
        <v>30000</v>
      </c>
      <c r="C37" s="160">
        <v>22000</v>
      </c>
      <c r="D37" s="160">
        <v>20000</v>
      </c>
      <c r="E37" s="160">
        <f>SUM(B37:D37)</f>
        <v>72000</v>
      </c>
      <c r="F37" s="161">
        <f t="shared" si="1"/>
        <v>0.22991044473752853</v>
      </c>
    </row>
    <row r="38" spans="1:6" ht="12.75">
      <c r="A38" s="2" t="s">
        <v>285</v>
      </c>
      <c r="B38" s="160">
        <v>152709.03</v>
      </c>
      <c r="C38" s="160">
        <v>77150</v>
      </c>
      <c r="D38" s="160">
        <v>121000</v>
      </c>
      <c r="E38" s="160">
        <f aca="true" t="shared" si="2" ref="E38:E51">SUM(B38:D38)</f>
        <v>350859.03</v>
      </c>
      <c r="F38" s="161">
        <f t="shared" si="1"/>
        <v>1.1203632726038593</v>
      </c>
    </row>
    <row r="39" spans="1:6" ht="12.75">
      <c r="A39" s="2" t="s">
        <v>169</v>
      </c>
      <c r="B39" s="160">
        <v>20000</v>
      </c>
      <c r="C39" s="160">
        <v>30000</v>
      </c>
      <c r="D39" s="2"/>
      <c r="E39" s="160">
        <f>SUM(B39:D39)</f>
        <v>50000</v>
      </c>
      <c r="F39" s="161">
        <f t="shared" si="1"/>
        <v>0.15966003106772816</v>
      </c>
    </row>
    <row r="40" spans="1:6" ht="12.75">
      <c r="A40" s="2" t="s">
        <v>230</v>
      </c>
      <c r="B40" s="160"/>
      <c r="C40" s="160"/>
      <c r="D40" s="160">
        <v>162368.4</v>
      </c>
      <c r="E40" s="160">
        <f>SUM(B40:D40)</f>
        <v>162368.4</v>
      </c>
      <c r="F40" s="161">
        <f t="shared" si="1"/>
        <v>0.5184748757683463</v>
      </c>
    </row>
    <row r="41" spans="1:6" ht="12.75">
      <c r="A41" s="2" t="s">
        <v>100</v>
      </c>
      <c r="B41" s="160">
        <v>8000</v>
      </c>
      <c r="C41" s="160">
        <v>190000</v>
      </c>
      <c r="D41" s="160">
        <v>200000</v>
      </c>
      <c r="E41" s="160">
        <f t="shared" si="2"/>
        <v>398000</v>
      </c>
      <c r="F41" s="161">
        <f t="shared" si="1"/>
        <v>1.270893847299116</v>
      </c>
    </row>
    <row r="42" spans="1:6" ht="12.75">
      <c r="A42" s="2" t="s">
        <v>101</v>
      </c>
      <c r="B42" s="160">
        <v>105950</v>
      </c>
      <c r="C42" s="160">
        <v>148587.5</v>
      </c>
      <c r="D42" s="160">
        <v>110600</v>
      </c>
      <c r="E42" s="160">
        <f t="shared" si="2"/>
        <v>365137.5</v>
      </c>
      <c r="F42" s="161">
        <f t="shared" si="1"/>
        <v>1.1659572918798515</v>
      </c>
    </row>
    <row r="43" spans="1:6" ht="12.75">
      <c r="A43" s="2" t="s">
        <v>243</v>
      </c>
      <c r="B43" s="160">
        <v>30000</v>
      </c>
      <c r="C43" s="160"/>
      <c r="D43" s="160">
        <v>35000</v>
      </c>
      <c r="E43" s="160">
        <f t="shared" si="2"/>
        <v>65000</v>
      </c>
      <c r="F43" s="161">
        <f t="shared" si="1"/>
        <v>0.2075580403880466</v>
      </c>
    </row>
    <row r="44" spans="1:6" ht="12.75">
      <c r="A44" s="2" t="s">
        <v>401</v>
      </c>
      <c r="B44" s="160">
        <v>160000</v>
      </c>
      <c r="C44" s="160">
        <v>80000</v>
      </c>
      <c r="D44" s="160">
        <v>150000</v>
      </c>
      <c r="E44" s="160">
        <f t="shared" si="2"/>
        <v>390000</v>
      </c>
      <c r="F44" s="161">
        <f t="shared" si="1"/>
        <v>1.2453482423282796</v>
      </c>
    </row>
    <row r="45" spans="1:6" ht="12.75">
      <c r="A45" s="2" t="s">
        <v>102</v>
      </c>
      <c r="B45" s="160">
        <v>86990</v>
      </c>
      <c r="C45" s="160">
        <v>269085</v>
      </c>
      <c r="D45" s="206"/>
      <c r="E45" s="160">
        <f>SUM(B45:D45)</f>
        <v>356075</v>
      </c>
      <c r="F45" s="161">
        <f t="shared" si="1"/>
        <v>1.137018911248826</v>
      </c>
    </row>
    <row r="46" spans="1:6" ht="12.75">
      <c r="A46" s="2" t="s">
        <v>383</v>
      </c>
      <c r="B46" s="160">
        <v>100000</v>
      </c>
      <c r="C46" s="160"/>
      <c r="D46" s="160">
        <v>40000</v>
      </c>
      <c r="E46" s="160">
        <f>SUM(B46:D46)</f>
        <v>140000</v>
      </c>
      <c r="F46" s="161">
        <f t="shared" si="1"/>
        <v>0.4470480869896388</v>
      </c>
    </row>
    <row r="47" spans="1:6" ht="12.75">
      <c r="A47" s="2" t="s">
        <v>112</v>
      </c>
      <c r="B47" s="160">
        <v>200000</v>
      </c>
      <c r="C47" s="160">
        <v>389089.5</v>
      </c>
      <c r="D47" s="160">
        <v>100000</v>
      </c>
      <c r="E47" s="160">
        <f t="shared" si="2"/>
        <v>689089.5</v>
      </c>
      <c r="F47" s="161">
        <f t="shared" si="1"/>
        <v>2.200401019568905</v>
      </c>
    </row>
    <row r="48" spans="1:6" ht="12.75">
      <c r="A48" s="2" t="s">
        <v>286</v>
      </c>
      <c r="B48" s="160">
        <v>111600</v>
      </c>
      <c r="C48" s="160">
        <v>180970</v>
      </c>
      <c r="D48" s="160">
        <v>152700</v>
      </c>
      <c r="E48" s="160">
        <f t="shared" si="2"/>
        <v>445270</v>
      </c>
      <c r="F48" s="161">
        <f t="shared" si="1"/>
        <v>1.4218364406705462</v>
      </c>
    </row>
    <row r="49" spans="1:6" ht="12.75">
      <c r="A49" s="2" t="s">
        <v>438</v>
      </c>
      <c r="B49" s="160">
        <v>120000</v>
      </c>
      <c r="C49" s="160">
        <v>50000</v>
      </c>
      <c r="D49" s="206"/>
      <c r="E49" s="160">
        <f>SUM(B49:D49)</f>
        <v>170000</v>
      </c>
      <c r="F49" s="161">
        <f t="shared" si="1"/>
        <v>0.5428441056302756</v>
      </c>
    </row>
    <row r="50" spans="1:6" ht="12.75">
      <c r="A50" s="2" t="s">
        <v>402</v>
      </c>
      <c r="B50" s="160">
        <v>10000</v>
      </c>
      <c r="C50" s="160">
        <v>121735</v>
      </c>
      <c r="D50" s="160">
        <v>80000</v>
      </c>
      <c r="E50" s="160">
        <f t="shared" si="2"/>
        <v>211735</v>
      </c>
      <c r="F50" s="161">
        <f t="shared" si="1"/>
        <v>0.6761123335625084</v>
      </c>
    </row>
    <row r="51" spans="1:6" ht="12.75">
      <c r="A51" s="2" t="s">
        <v>232</v>
      </c>
      <c r="B51" s="160">
        <v>115000</v>
      </c>
      <c r="C51" s="160">
        <v>115000</v>
      </c>
      <c r="D51" s="160">
        <f>100000+100000</f>
        <v>200000</v>
      </c>
      <c r="E51" s="160">
        <f t="shared" si="2"/>
        <v>430000</v>
      </c>
      <c r="F51" s="161">
        <f t="shared" si="1"/>
        <v>1.3730762671824621</v>
      </c>
    </row>
    <row r="52" spans="1:6" ht="12.75">
      <c r="A52" s="2" t="s">
        <v>255</v>
      </c>
      <c r="B52" s="160">
        <v>50000</v>
      </c>
      <c r="C52" s="160">
        <v>77399</v>
      </c>
      <c r="D52" s="160">
        <v>66000</v>
      </c>
      <c r="E52" s="160">
        <f>SUM(B52:D52)</f>
        <v>193399</v>
      </c>
      <c r="F52" s="161">
        <f t="shared" si="1"/>
        <v>0.6175618069693511</v>
      </c>
    </row>
    <row r="53" spans="2:6" ht="12.75">
      <c r="B53" s="160"/>
      <c r="C53" s="160"/>
      <c r="D53" s="206"/>
      <c r="E53" s="160"/>
      <c r="F53" s="161"/>
    </row>
    <row r="54" spans="1:6" ht="12.75">
      <c r="A54" s="6" t="s">
        <v>276</v>
      </c>
      <c r="B54" s="215">
        <f>SUM(B12:B53)</f>
        <v>6773645.87</v>
      </c>
      <c r="C54" s="215">
        <f>SUM(C12:C53)</f>
        <v>5911440.12</v>
      </c>
      <c r="D54" s="215">
        <f>SUM(D12:D53)</f>
        <v>7868760.800000002</v>
      </c>
      <c r="E54" s="215">
        <f>SUM(E12:E53)</f>
        <v>20553846.79</v>
      </c>
      <c r="F54" s="215">
        <f>SUM(F12:F53)</f>
        <v>65.63255634105448</v>
      </c>
    </row>
    <row r="55" spans="1:6" ht="12.75">
      <c r="A55" s="6"/>
      <c r="B55" s="187"/>
      <c r="C55" s="187"/>
      <c r="D55" s="187"/>
      <c r="E55" s="187"/>
      <c r="F55" s="187"/>
    </row>
    <row r="56" spans="1:6" ht="12.75">
      <c r="A56" s="6"/>
      <c r="B56" s="187"/>
      <c r="C56" s="187"/>
      <c r="D56" s="187"/>
      <c r="E56" s="187"/>
      <c r="F56" s="187"/>
    </row>
    <row r="57" spans="2:6" ht="12.75">
      <c r="B57" s="27"/>
      <c r="C57" s="27"/>
      <c r="D57" s="36"/>
      <c r="E57" s="246" t="s">
        <v>154</v>
      </c>
      <c r="F57" s="246"/>
    </row>
    <row r="58" spans="2:6" ht="12.75">
      <c r="B58" s="27"/>
      <c r="C58" s="27"/>
      <c r="D58" s="36"/>
      <c r="E58" s="253" t="s">
        <v>432</v>
      </c>
      <c r="F58" s="246"/>
    </row>
    <row r="59" spans="1:6" ht="15">
      <c r="A59" s="245" t="s">
        <v>403</v>
      </c>
      <c r="B59" s="245"/>
      <c r="C59" s="245"/>
      <c r="D59" s="245"/>
      <c r="E59" s="245"/>
      <c r="F59" s="245"/>
    </row>
    <row r="60" spans="1:6" ht="15">
      <c r="A60" s="247" t="s">
        <v>585</v>
      </c>
      <c r="B60" s="247"/>
      <c r="C60" s="247"/>
      <c r="D60" s="247"/>
      <c r="E60" s="247"/>
      <c r="F60" s="247"/>
    </row>
    <row r="61" spans="1:6" ht="15">
      <c r="A61" s="245" t="s">
        <v>415</v>
      </c>
      <c r="B61" s="245"/>
      <c r="C61" s="245"/>
      <c r="D61" s="245"/>
      <c r="E61" s="245"/>
      <c r="F61" s="245"/>
    </row>
    <row r="62" spans="1:6" ht="15">
      <c r="A62" s="245" t="s">
        <v>490</v>
      </c>
      <c r="B62" s="245"/>
      <c r="C62" s="245"/>
      <c r="D62" s="245"/>
      <c r="E62" s="245"/>
      <c r="F62" s="245"/>
    </row>
    <row r="63" spans="1:6" ht="8.25" customHeight="1">
      <c r="A63" s="19"/>
      <c r="B63" s="19"/>
      <c r="C63" s="19"/>
      <c r="D63" s="19"/>
      <c r="E63" s="19"/>
      <c r="F63" s="19"/>
    </row>
    <row r="64" spans="1:6" ht="12.75">
      <c r="A64" s="83"/>
      <c r="B64" s="83"/>
      <c r="C64" s="83"/>
      <c r="D64" s="83"/>
      <c r="E64" s="83"/>
      <c r="F64" s="3"/>
    </row>
    <row r="65" spans="1:6" ht="12.75">
      <c r="A65" s="108" t="s">
        <v>19</v>
      </c>
      <c r="B65" s="109" t="s">
        <v>487</v>
      </c>
      <c r="C65" s="109" t="s">
        <v>488</v>
      </c>
      <c r="D65" s="109" t="s">
        <v>489</v>
      </c>
      <c r="E65" s="108" t="s">
        <v>20</v>
      </c>
      <c r="F65" s="98" t="s">
        <v>21</v>
      </c>
    </row>
    <row r="66" spans="1:6" ht="12.75">
      <c r="A66" s="83"/>
      <c r="B66" s="83"/>
      <c r="C66" s="83"/>
      <c r="D66" s="83"/>
      <c r="E66" s="83"/>
      <c r="F66" s="3"/>
    </row>
    <row r="67" spans="1:6" ht="6" customHeight="1">
      <c r="A67" s="83"/>
      <c r="B67" s="194"/>
      <c r="C67" s="194"/>
      <c r="D67" s="194"/>
      <c r="E67" s="194"/>
      <c r="F67" s="129"/>
    </row>
    <row r="68" spans="1:6" ht="12.75" customHeight="1">
      <c r="A68" s="2" t="s">
        <v>287</v>
      </c>
      <c r="B68" s="160">
        <v>45000</v>
      </c>
      <c r="C68" s="160"/>
      <c r="D68" s="160">
        <v>100000</v>
      </c>
      <c r="E68" s="160">
        <f>SUM(B68:D68)</f>
        <v>145000</v>
      </c>
      <c r="F68" s="161">
        <f aca="true" t="shared" si="3" ref="F68:F110">(E68/$E$146*100)</f>
        <v>0.46301409009641165</v>
      </c>
    </row>
    <row r="69" spans="1:6" ht="12.75" customHeight="1">
      <c r="A69" s="2" t="s">
        <v>162</v>
      </c>
      <c r="B69" s="160">
        <v>76519</v>
      </c>
      <c r="C69" s="160">
        <v>103538.47</v>
      </c>
      <c r="D69" s="160">
        <v>159923</v>
      </c>
      <c r="E69" s="160">
        <f>SUM(B69:D69)</f>
        <v>339980.47</v>
      </c>
      <c r="F69" s="161">
        <f t="shared" si="3"/>
        <v>1.0856258480524164</v>
      </c>
    </row>
    <row r="70" spans="1:6" ht="12.75" customHeight="1">
      <c r="A70" s="2" t="s">
        <v>233</v>
      </c>
      <c r="B70" s="160">
        <v>300000</v>
      </c>
      <c r="C70" s="160">
        <v>450000</v>
      </c>
      <c r="D70" s="160">
        <v>550000</v>
      </c>
      <c r="E70" s="160">
        <f>SUM(B70:D70)</f>
        <v>1300000</v>
      </c>
      <c r="F70" s="161">
        <f t="shared" si="3"/>
        <v>4.151160807760932</v>
      </c>
    </row>
    <row r="71" spans="1:6" ht="12.75" customHeight="1">
      <c r="A71" s="2" t="s">
        <v>113</v>
      </c>
      <c r="B71" s="160"/>
      <c r="C71" s="160">
        <v>120000</v>
      </c>
      <c r="D71" s="160">
        <v>60000</v>
      </c>
      <c r="E71" s="160">
        <f>SUM(B71:D71)</f>
        <v>180000</v>
      </c>
      <c r="F71" s="161">
        <f t="shared" si="3"/>
        <v>0.5747761118438213</v>
      </c>
    </row>
    <row r="72" spans="1:6" ht="12.75" customHeight="1">
      <c r="A72" s="2" t="s">
        <v>103</v>
      </c>
      <c r="B72" s="160">
        <v>150000</v>
      </c>
      <c r="C72" s="160">
        <v>93515</v>
      </c>
      <c r="D72" s="160">
        <v>20000</v>
      </c>
      <c r="E72" s="160">
        <f>SUM(B72:D72)</f>
        <v>263515</v>
      </c>
      <c r="F72" s="161">
        <f t="shared" si="3"/>
        <v>0.8414562617362475</v>
      </c>
    </row>
    <row r="73" spans="1:6" ht="12" customHeight="1">
      <c r="A73" s="2" t="s">
        <v>106</v>
      </c>
      <c r="B73" s="160">
        <v>60000</v>
      </c>
      <c r="C73" s="160"/>
      <c r="D73" s="160">
        <v>40000</v>
      </c>
      <c r="E73" s="160">
        <f aca="true" t="shared" si="4" ref="E73:E109">SUM(B73:D73)</f>
        <v>100000</v>
      </c>
      <c r="F73" s="161">
        <f t="shared" si="3"/>
        <v>0.31932006213545633</v>
      </c>
    </row>
    <row r="74" spans="1:6" ht="12" customHeight="1">
      <c r="A74" s="2" t="s">
        <v>455</v>
      </c>
      <c r="B74" s="160">
        <v>70000</v>
      </c>
      <c r="C74" s="160"/>
      <c r="D74" s="206"/>
      <c r="E74" s="160">
        <f>SUM(B74:D74)</f>
        <v>70000</v>
      </c>
      <c r="F74" s="161">
        <f t="shared" si="3"/>
        <v>0.2235240434948194</v>
      </c>
    </row>
    <row r="75" spans="1:6" ht="12" customHeight="1">
      <c r="A75" s="2" t="s">
        <v>474</v>
      </c>
      <c r="B75" s="160">
        <v>42180</v>
      </c>
      <c r="C75" s="160">
        <v>200000</v>
      </c>
      <c r="D75" s="160">
        <v>215320</v>
      </c>
      <c r="E75" s="160">
        <f>SUM(B75:D75)</f>
        <v>457500</v>
      </c>
      <c r="F75" s="161">
        <f t="shared" si="3"/>
        <v>1.4608892842697125</v>
      </c>
    </row>
    <row r="76" spans="1:6" ht="12" customHeight="1">
      <c r="A76" s="2" t="s">
        <v>240</v>
      </c>
      <c r="B76" s="160">
        <v>160000</v>
      </c>
      <c r="C76" s="160">
        <v>190000</v>
      </c>
      <c r="D76" s="160">
        <f>150000</f>
        <v>150000</v>
      </c>
      <c r="E76" s="160">
        <f t="shared" si="4"/>
        <v>500000</v>
      </c>
      <c r="F76" s="161">
        <f t="shared" si="3"/>
        <v>1.5966003106772815</v>
      </c>
    </row>
    <row r="77" spans="1:6" ht="12" customHeight="1">
      <c r="A77" s="2" t="s">
        <v>248</v>
      </c>
      <c r="B77" s="160">
        <v>80000</v>
      </c>
      <c r="C77" s="160">
        <v>96250</v>
      </c>
      <c r="D77" s="160">
        <v>78550</v>
      </c>
      <c r="E77" s="160">
        <f t="shared" si="4"/>
        <v>254800</v>
      </c>
      <c r="F77" s="161">
        <f t="shared" si="3"/>
        <v>0.8136275183211427</v>
      </c>
    </row>
    <row r="78" spans="1:6" ht="12" customHeight="1">
      <c r="A78" s="2" t="s">
        <v>459</v>
      </c>
      <c r="B78" s="160">
        <v>50000</v>
      </c>
      <c r="C78" s="160">
        <v>60000</v>
      </c>
      <c r="D78" s="160">
        <v>80000</v>
      </c>
      <c r="E78" s="160">
        <f>SUM(B78:D78)</f>
        <v>190000</v>
      </c>
      <c r="F78" s="161">
        <f t="shared" si="3"/>
        <v>0.606708118057367</v>
      </c>
    </row>
    <row r="79" spans="1:6" ht="12" customHeight="1">
      <c r="A79" s="2" t="s">
        <v>114</v>
      </c>
      <c r="B79" s="160">
        <v>120000</v>
      </c>
      <c r="C79" s="160">
        <v>64000</v>
      </c>
      <c r="D79" s="206"/>
      <c r="E79" s="160">
        <f t="shared" si="4"/>
        <v>184000</v>
      </c>
      <c r="F79" s="161">
        <f t="shared" si="3"/>
        <v>0.5875489143292395</v>
      </c>
    </row>
    <row r="80" spans="1:6" ht="12" customHeight="1">
      <c r="A80" s="2" t="s">
        <v>539</v>
      </c>
      <c r="B80" s="160"/>
      <c r="C80" s="160">
        <v>250000</v>
      </c>
      <c r="D80" s="206"/>
      <c r="E80" s="160">
        <f t="shared" si="4"/>
        <v>250000</v>
      </c>
      <c r="F80" s="161">
        <f t="shared" si="3"/>
        <v>0.7983001553386407</v>
      </c>
    </row>
    <row r="81" spans="1:6" ht="12" customHeight="1">
      <c r="A81" s="2" t="s">
        <v>373</v>
      </c>
      <c r="B81" s="160">
        <v>25000</v>
      </c>
      <c r="C81" s="160"/>
      <c r="D81" s="160">
        <v>18000</v>
      </c>
      <c r="E81" s="160">
        <f t="shared" si="4"/>
        <v>43000</v>
      </c>
      <c r="F81" s="161">
        <f t="shared" si="3"/>
        <v>0.1373076267182462</v>
      </c>
    </row>
    <row r="82" spans="1:6" ht="12" customHeight="1">
      <c r="A82" s="2" t="s">
        <v>375</v>
      </c>
      <c r="B82" s="160">
        <v>80000</v>
      </c>
      <c r="C82" s="160"/>
      <c r="D82" s="160"/>
      <c r="E82" s="160">
        <f>SUM(B82:D82)</f>
        <v>80000</v>
      </c>
      <c r="F82" s="161">
        <f t="shared" si="3"/>
        <v>0.25545604970836505</v>
      </c>
    </row>
    <row r="83" spans="1:6" ht="12" customHeight="1">
      <c r="A83" s="2" t="s">
        <v>115</v>
      </c>
      <c r="B83" s="160">
        <v>20000</v>
      </c>
      <c r="C83" s="160">
        <v>17000</v>
      </c>
      <c r="D83" s="160">
        <v>60000</v>
      </c>
      <c r="E83" s="160">
        <f t="shared" si="4"/>
        <v>97000</v>
      </c>
      <c r="F83" s="161">
        <f t="shared" si="3"/>
        <v>0.30974046027139257</v>
      </c>
    </row>
    <row r="84" spans="1:6" ht="12" customHeight="1">
      <c r="A84" s="2" t="s">
        <v>345</v>
      </c>
      <c r="B84" s="160">
        <v>100000</v>
      </c>
      <c r="C84" s="160">
        <v>100000</v>
      </c>
      <c r="D84" s="160">
        <v>100000</v>
      </c>
      <c r="E84" s="160">
        <f t="shared" si="4"/>
        <v>300000</v>
      </c>
      <c r="F84" s="161">
        <f t="shared" si="3"/>
        <v>0.9579601864063689</v>
      </c>
    </row>
    <row r="85" spans="1:6" ht="12" customHeight="1">
      <c r="A85" s="2" t="s">
        <v>116</v>
      </c>
      <c r="B85" s="160">
        <v>50000</v>
      </c>
      <c r="C85" s="160">
        <v>50000</v>
      </c>
      <c r="D85" s="160">
        <v>100000</v>
      </c>
      <c r="E85" s="160">
        <f t="shared" si="4"/>
        <v>200000</v>
      </c>
      <c r="F85" s="161">
        <f t="shared" si="3"/>
        <v>0.6386401242709127</v>
      </c>
    </row>
    <row r="86" spans="1:6" ht="12" customHeight="1">
      <c r="A86" s="2" t="s">
        <v>107</v>
      </c>
      <c r="B86" s="206">
        <v>50000</v>
      </c>
      <c r="C86" s="206">
        <v>80000</v>
      </c>
      <c r="D86" s="206">
        <v>60000</v>
      </c>
      <c r="E86" s="160">
        <f t="shared" si="4"/>
        <v>190000</v>
      </c>
      <c r="F86" s="161">
        <f t="shared" si="3"/>
        <v>0.606708118057367</v>
      </c>
    </row>
    <row r="87" spans="1:6" ht="12" customHeight="1">
      <c r="A87" s="2" t="s">
        <v>161</v>
      </c>
      <c r="B87" s="206"/>
      <c r="C87" s="206">
        <v>28000</v>
      </c>
      <c r="D87" s="206">
        <v>15000</v>
      </c>
      <c r="E87" s="160">
        <f t="shared" si="4"/>
        <v>43000</v>
      </c>
      <c r="F87" s="161">
        <f t="shared" si="3"/>
        <v>0.1373076267182462</v>
      </c>
    </row>
    <row r="88" spans="1:6" ht="12" customHeight="1">
      <c r="A88" s="2" t="s">
        <v>163</v>
      </c>
      <c r="B88" s="206">
        <v>15560</v>
      </c>
      <c r="C88" s="206">
        <v>96300</v>
      </c>
      <c r="D88" s="206">
        <v>70000</v>
      </c>
      <c r="E88" s="160">
        <f t="shared" si="4"/>
        <v>181860</v>
      </c>
      <c r="F88" s="161">
        <f t="shared" si="3"/>
        <v>0.5807154649995409</v>
      </c>
    </row>
    <row r="89" spans="1:6" ht="12" customHeight="1">
      <c r="A89" s="2" t="s">
        <v>246</v>
      </c>
      <c r="B89" s="206">
        <v>10000</v>
      </c>
      <c r="C89" s="206"/>
      <c r="D89" s="206">
        <v>25000</v>
      </c>
      <c r="E89" s="160">
        <f t="shared" si="4"/>
        <v>35000</v>
      </c>
      <c r="F89" s="161">
        <f t="shared" si="3"/>
        <v>0.1117620217474097</v>
      </c>
    </row>
    <row r="90" spans="1:6" ht="12" customHeight="1">
      <c r="A90" s="2" t="s">
        <v>148</v>
      </c>
      <c r="B90" s="206"/>
      <c r="C90" s="206">
        <v>40000</v>
      </c>
      <c r="D90" s="206"/>
      <c r="E90" s="160">
        <f t="shared" si="4"/>
        <v>40000</v>
      </c>
      <c r="F90" s="161">
        <f t="shared" si="3"/>
        <v>0.12772802485418253</v>
      </c>
    </row>
    <row r="91" spans="1:6" ht="12" customHeight="1">
      <c r="A91" s="2" t="s">
        <v>475</v>
      </c>
      <c r="B91" s="206"/>
      <c r="C91" s="206">
        <v>32000</v>
      </c>
      <c r="D91" s="206"/>
      <c r="E91" s="160">
        <f>SUM(B91:D91)</f>
        <v>32000</v>
      </c>
      <c r="F91" s="161">
        <f t="shared" si="3"/>
        <v>0.102182419883346</v>
      </c>
    </row>
    <row r="92" spans="1:6" ht="12" customHeight="1">
      <c r="A92" s="2" t="s">
        <v>108</v>
      </c>
      <c r="B92" s="206">
        <v>76000</v>
      </c>
      <c r="C92" s="206">
        <v>30000</v>
      </c>
      <c r="D92" s="206">
        <v>47000</v>
      </c>
      <c r="E92" s="160">
        <f t="shared" si="4"/>
        <v>153000</v>
      </c>
      <c r="F92" s="161">
        <f t="shared" si="3"/>
        <v>0.48855969506724817</v>
      </c>
    </row>
    <row r="93" spans="1:6" ht="12" customHeight="1">
      <c r="A93" s="2" t="s">
        <v>279</v>
      </c>
      <c r="B93" s="206">
        <v>70000</v>
      </c>
      <c r="C93" s="206">
        <v>100000</v>
      </c>
      <c r="D93" s="206">
        <f>200000+100000-100000</f>
        <v>200000</v>
      </c>
      <c r="E93" s="160">
        <f t="shared" si="4"/>
        <v>370000</v>
      </c>
      <c r="F93" s="161">
        <f t="shared" si="3"/>
        <v>1.1814842299011883</v>
      </c>
    </row>
    <row r="94" spans="1:6" ht="12" customHeight="1">
      <c r="A94" s="2" t="s">
        <v>117</v>
      </c>
      <c r="B94" s="206">
        <v>40000</v>
      </c>
      <c r="C94" s="206"/>
      <c r="D94" s="206">
        <v>40000</v>
      </c>
      <c r="E94" s="160">
        <f t="shared" si="4"/>
        <v>80000</v>
      </c>
      <c r="F94" s="161">
        <f t="shared" si="3"/>
        <v>0.25545604970836505</v>
      </c>
    </row>
    <row r="95" spans="1:6" ht="12" customHeight="1">
      <c r="A95" s="2" t="s">
        <v>118</v>
      </c>
      <c r="B95" s="206">
        <v>50000</v>
      </c>
      <c r="C95" s="206"/>
      <c r="D95" s="206">
        <v>30000</v>
      </c>
      <c r="E95" s="160">
        <f t="shared" si="4"/>
        <v>80000</v>
      </c>
      <c r="F95" s="161">
        <f t="shared" si="3"/>
        <v>0.25545604970836505</v>
      </c>
    </row>
    <row r="96" spans="1:6" ht="12" customHeight="1">
      <c r="A96" s="2" t="s">
        <v>119</v>
      </c>
      <c r="B96" s="206">
        <v>20000</v>
      </c>
      <c r="C96" s="206">
        <v>40000</v>
      </c>
      <c r="D96" s="206"/>
      <c r="E96" s="160">
        <f t="shared" si="4"/>
        <v>60000</v>
      </c>
      <c r="F96" s="161">
        <f t="shared" si="3"/>
        <v>0.19159203728127377</v>
      </c>
    </row>
    <row r="97" spans="1:6" ht="12" customHeight="1">
      <c r="A97" s="2" t="s">
        <v>164</v>
      </c>
      <c r="B97" s="206">
        <v>160000</v>
      </c>
      <c r="C97" s="206">
        <v>20000</v>
      </c>
      <c r="D97" s="206">
        <v>30000</v>
      </c>
      <c r="E97" s="160">
        <f t="shared" si="4"/>
        <v>210000</v>
      </c>
      <c r="F97" s="161">
        <f t="shared" si="3"/>
        <v>0.6705721304844582</v>
      </c>
    </row>
    <row r="98" spans="1:6" ht="12" customHeight="1">
      <c r="A98" s="2" t="s">
        <v>120</v>
      </c>
      <c r="B98" s="206"/>
      <c r="C98" s="206">
        <v>20000</v>
      </c>
      <c r="D98" s="206"/>
      <c r="E98" s="160">
        <f t="shared" si="4"/>
        <v>20000</v>
      </c>
      <c r="F98" s="161">
        <f t="shared" si="3"/>
        <v>0.06386401242709126</v>
      </c>
    </row>
    <row r="99" spans="1:6" ht="12" customHeight="1">
      <c r="A99" s="2" t="s">
        <v>121</v>
      </c>
      <c r="B99" s="206">
        <v>60000</v>
      </c>
      <c r="C99" s="206">
        <v>60000</v>
      </c>
      <c r="D99" s="206"/>
      <c r="E99" s="160">
        <f t="shared" si="4"/>
        <v>120000</v>
      </c>
      <c r="F99" s="161">
        <f t="shared" si="3"/>
        <v>0.38318407456254755</v>
      </c>
    </row>
    <row r="100" spans="1:6" ht="12" customHeight="1">
      <c r="A100" s="2" t="s">
        <v>165</v>
      </c>
      <c r="B100" s="206">
        <v>15000</v>
      </c>
      <c r="C100" s="206">
        <v>30000</v>
      </c>
      <c r="D100" s="206">
        <v>30000</v>
      </c>
      <c r="E100" s="160">
        <f t="shared" si="4"/>
        <v>75000</v>
      </c>
      <c r="F100" s="161">
        <f t="shared" si="3"/>
        <v>0.23949004660159223</v>
      </c>
    </row>
    <row r="101" spans="1:6" ht="12" customHeight="1">
      <c r="A101" s="2" t="s">
        <v>122</v>
      </c>
      <c r="B101" s="206">
        <v>80000</v>
      </c>
      <c r="C101" s="206">
        <v>83000</v>
      </c>
      <c r="D101" s="206">
        <v>60000</v>
      </c>
      <c r="E101" s="160">
        <f t="shared" si="4"/>
        <v>223000</v>
      </c>
      <c r="F101" s="161">
        <f t="shared" si="3"/>
        <v>0.7120837385620675</v>
      </c>
    </row>
    <row r="102" spans="1:6" ht="12" customHeight="1">
      <c r="A102" s="2" t="s">
        <v>166</v>
      </c>
      <c r="B102" s="206">
        <v>50000</v>
      </c>
      <c r="C102" s="206">
        <v>22000</v>
      </c>
      <c r="D102" s="206"/>
      <c r="E102" s="160">
        <f t="shared" si="4"/>
        <v>72000</v>
      </c>
      <c r="F102" s="161">
        <f t="shared" si="3"/>
        <v>0.22991044473752853</v>
      </c>
    </row>
    <row r="103" spans="1:6" ht="12" customHeight="1">
      <c r="A103" s="2" t="s">
        <v>251</v>
      </c>
      <c r="B103" s="206"/>
      <c r="C103" s="206">
        <v>60000</v>
      </c>
      <c r="D103" s="206">
        <v>20000</v>
      </c>
      <c r="E103" s="160">
        <f t="shared" si="4"/>
        <v>80000</v>
      </c>
      <c r="F103" s="161">
        <f t="shared" si="3"/>
        <v>0.25545604970836505</v>
      </c>
    </row>
    <row r="104" spans="1:6" ht="12" customHeight="1">
      <c r="A104" s="2" t="s">
        <v>352</v>
      </c>
      <c r="B104" s="206"/>
      <c r="C104" s="206">
        <v>30000</v>
      </c>
      <c r="D104" s="206"/>
      <c r="E104" s="160">
        <f>SUM(B104:D104)</f>
        <v>30000</v>
      </c>
      <c r="F104" s="161">
        <f t="shared" si="3"/>
        <v>0.09579601864063689</v>
      </c>
    </row>
    <row r="105" spans="1:6" ht="12" customHeight="1">
      <c r="A105" s="2" t="s">
        <v>123</v>
      </c>
      <c r="B105" s="206">
        <v>15000</v>
      </c>
      <c r="C105" s="206">
        <v>20000</v>
      </c>
      <c r="D105" s="206">
        <v>20000</v>
      </c>
      <c r="E105" s="160">
        <f t="shared" si="4"/>
        <v>55000</v>
      </c>
      <c r="F105" s="161">
        <f t="shared" si="3"/>
        <v>0.17562603417450096</v>
      </c>
    </row>
    <row r="106" spans="1:6" ht="12" customHeight="1">
      <c r="A106" s="2" t="s">
        <v>367</v>
      </c>
      <c r="B106" s="206">
        <v>60000</v>
      </c>
      <c r="C106" s="206">
        <v>80000</v>
      </c>
      <c r="D106" s="206"/>
      <c r="E106" s="160">
        <f t="shared" si="4"/>
        <v>140000</v>
      </c>
      <c r="F106" s="161">
        <f t="shared" si="3"/>
        <v>0.4470480869896388</v>
      </c>
    </row>
    <row r="107" spans="1:6" ht="12" customHeight="1">
      <c r="A107" s="2" t="s">
        <v>191</v>
      </c>
      <c r="B107" s="206">
        <v>166000</v>
      </c>
      <c r="C107" s="206">
        <v>80000</v>
      </c>
      <c r="D107" s="206">
        <v>150000</v>
      </c>
      <c r="E107" s="160">
        <f t="shared" si="4"/>
        <v>396000</v>
      </c>
      <c r="F107" s="161">
        <f t="shared" si="3"/>
        <v>1.264507446056407</v>
      </c>
    </row>
    <row r="108" spans="1:6" ht="12" customHeight="1">
      <c r="A108" s="2" t="s">
        <v>374</v>
      </c>
      <c r="B108" s="206">
        <v>30000</v>
      </c>
      <c r="C108" s="206"/>
      <c r="D108" s="206">
        <v>30000</v>
      </c>
      <c r="E108" s="160">
        <f>SUM(B108:D108)</f>
        <v>60000</v>
      </c>
      <c r="F108" s="161">
        <f t="shared" si="3"/>
        <v>0.19159203728127377</v>
      </c>
    </row>
    <row r="109" spans="1:6" ht="12" customHeight="1">
      <c r="A109" s="2" t="s">
        <v>254</v>
      </c>
      <c r="B109" s="206">
        <v>5000</v>
      </c>
      <c r="C109" s="206">
        <v>15000</v>
      </c>
      <c r="D109" s="206">
        <v>17000</v>
      </c>
      <c r="E109" s="160">
        <f t="shared" si="4"/>
        <v>37000</v>
      </c>
      <c r="F109" s="161">
        <f t="shared" si="3"/>
        <v>0.11814842299011884</v>
      </c>
    </row>
    <row r="110" spans="1:6" ht="12" customHeight="1">
      <c r="A110" s="2" t="s">
        <v>288</v>
      </c>
      <c r="B110" s="206">
        <v>55600</v>
      </c>
      <c r="C110" s="206">
        <v>50000</v>
      </c>
      <c r="D110" s="206">
        <v>50000</v>
      </c>
      <c r="E110" s="160">
        <f>SUM(B110:D110)</f>
        <v>155600</v>
      </c>
      <c r="F110" s="161">
        <f t="shared" si="3"/>
        <v>0.49686201668277</v>
      </c>
    </row>
    <row r="111" spans="2:6" ht="12" customHeight="1">
      <c r="B111" s="206"/>
      <c r="C111" s="206"/>
      <c r="D111" s="206"/>
      <c r="E111" s="160"/>
      <c r="F111" s="161"/>
    </row>
    <row r="112" spans="1:6" ht="12" customHeight="1">
      <c r="A112" s="6" t="s">
        <v>276</v>
      </c>
      <c r="B112" s="208">
        <f>SUM(B68:B111)</f>
        <v>2456859</v>
      </c>
      <c r="C112" s="208">
        <f>SUM(C68:C111)</f>
        <v>2810603.4699999997</v>
      </c>
      <c r="D112" s="208">
        <f>SUM(D68:D111)</f>
        <v>2625793</v>
      </c>
      <c r="E112" s="208">
        <f>SUM(E68:E111)</f>
        <v>7893255.47</v>
      </c>
      <c r="F112" s="208">
        <f>SUM(F68:F111)</f>
        <v>25.204748271314305</v>
      </c>
    </row>
    <row r="113" spans="1:6" ht="12" customHeight="1">
      <c r="A113" s="6"/>
      <c r="B113" s="240"/>
      <c r="C113" s="240"/>
      <c r="D113" s="240"/>
      <c r="E113" s="240"/>
      <c r="F113" s="240"/>
    </row>
    <row r="114" spans="1:6" ht="12" customHeight="1">
      <c r="A114" s="6"/>
      <c r="B114" s="240"/>
      <c r="C114" s="240"/>
      <c r="D114" s="240"/>
      <c r="E114" s="240"/>
      <c r="F114" s="240"/>
    </row>
    <row r="115" spans="2:6" ht="12" customHeight="1">
      <c r="B115" s="27"/>
      <c r="C115" s="27"/>
      <c r="D115" s="36"/>
      <c r="E115" s="253"/>
      <c r="F115" s="246"/>
    </row>
    <row r="116" spans="2:6" ht="12" customHeight="1">
      <c r="B116" s="27"/>
      <c r="C116" s="27"/>
      <c r="D116" s="36"/>
      <c r="E116" s="242"/>
      <c r="F116" s="44"/>
    </row>
    <row r="117" spans="2:6" ht="12" customHeight="1">
      <c r="B117" s="27"/>
      <c r="C117" s="27"/>
      <c r="D117" s="36"/>
      <c r="E117" s="246" t="s">
        <v>154</v>
      </c>
      <c r="F117" s="246"/>
    </row>
    <row r="118" spans="2:6" ht="12" customHeight="1">
      <c r="B118" s="27"/>
      <c r="C118" s="27"/>
      <c r="D118" s="36"/>
      <c r="E118" s="253" t="s">
        <v>433</v>
      </c>
      <c r="F118" s="246"/>
    </row>
    <row r="119" spans="2:6" ht="12" customHeight="1">
      <c r="B119" s="27"/>
      <c r="C119" s="27"/>
      <c r="D119" s="36"/>
      <c r="E119" s="242"/>
      <c r="F119" s="44"/>
    </row>
    <row r="120" spans="1:6" ht="12.75" customHeight="1">
      <c r="A120" s="245" t="s">
        <v>403</v>
      </c>
      <c r="B120" s="245"/>
      <c r="C120" s="245"/>
      <c r="D120" s="245"/>
      <c r="E120" s="245"/>
      <c r="F120" s="245"/>
    </row>
    <row r="121" spans="1:6" ht="12.75" customHeight="1">
      <c r="A121" s="247" t="s">
        <v>585</v>
      </c>
      <c r="B121" s="247"/>
      <c r="C121" s="247"/>
      <c r="D121" s="247"/>
      <c r="E121" s="247"/>
      <c r="F121" s="247"/>
    </row>
    <row r="122" spans="1:6" ht="12.75" customHeight="1">
      <c r="A122" s="245" t="s">
        <v>416</v>
      </c>
      <c r="B122" s="245"/>
      <c r="C122" s="245"/>
      <c r="D122" s="245"/>
      <c r="E122" s="245"/>
      <c r="F122" s="245"/>
    </row>
    <row r="123" spans="1:6" ht="13.5" customHeight="1">
      <c r="A123" s="245" t="s">
        <v>490</v>
      </c>
      <c r="B123" s="245"/>
      <c r="C123" s="245"/>
      <c r="D123" s="245"/>
      <c r="E123" s="245"/>
      <c r="F123" s="245"/>
    </row>
    <row r="124" spans="1:6" ht="8.25" customHeight="1">
      <c r="A124" s="19"/>
      <c r="B124" s="19"/>
      <c r="C124" s="19"/>
      <c r="D124" s="19"/>
      <c r="E124" s="19"/>
      <c r="F124" s="19"/>
    </row>
    <row r="125" spans="1:6" ht="12" customHeight="1">
      <c r="A125" s="83"/>
      <c r="B125" s="83"/>
      <c r="C125" s="83"/>
      <c r="D125" s="83"/>
      <c r="E125" s="83"/>
      <c r="F125" s="3"/>
    </row>
    <row r="126" spans="1:6" ht="12" customHeight="1">
      <c r="A126" s="108" t="s">
        <v>19</v>
      </c>
      <c r="B126" s="109" t="s">
        <v>487</v>
      </c>
      <c r="C126" s="109" t="s">
        <v>488</v>
      </c>
      <c r="D126" s="109" t="s">
        <v>489</v>
      </c>
      <c r="E126" s="108" t="s">
        <v>20</v>
      </c>
      <c r="F126" s="98" t="s">
        <v>21</v>
      </c>
    </row>
    <row r="127" spans="1:6" ht="12" customHeight="1">
      <c r="A127" s="83"/>
      <c r="B127" s="83"/>
      <c r="C127" s="83"/>
      <c r="D127" s="83"/>
      <c r="E127" s="83"/>
      <c r="F127" s="3"/>
    </row>
    <row r="128" spans="2:7" ht="6" customHeight="1">
      <c r="B128" s="206"/>
      <c r="C128" s="206"/>
      <c r="D128" s="206"/>
      <c r="E128" s="160"/>
      <c r="F128" s="207"/>
      <c r="G128" s="117"/>
    </row>
    <row r="129" spans="1:7" ht="12.75" customHeight="1">
      <c r="A129" s="2" t="s">
        <v>192</v>
      </c>
      <c r="B129" s="206">
        <v>60000</v>
      </c>
      <c r="C129" s="206">
        <v>30000</v>
      </c>
      <c r="D129" s="206">
        <v>30000</v>
      </c>
      <c r="E129" s="160">
        <f>SUM(B129:D129)</f>
        <v>120000</v>
      </c>
      <c r="F129" s="161">
        <f aca="true" t="shared" si="5" ref="F129:F142">(E129/$E$146*100)</f>
        <v>0.38318407456254755</v>
      </c>
      <c r="G129" s="117"/>
    </row>
    <row r="130" spans="1:7" ht="12.75" customHeight="1">
      <c r="A130" s="2" t="s">
        <v>231</v>
      </c>
      <c r="B130" s="206">
        <v>45000</v>
      </c>
      <c r="C130" s="206"/>
      <c r="D130" s="206">
        <v>30000</v>
      </c>
      <c r="E130" s="160">
        <f aca="true" t="shared" si="6" ref="E130:E135">SUM(B130:D130)</f>
        <v>75000</v>
      </c>
      <c r="F130" s="161">
        <f t="shared" si="5"/>
        <v>0.23949004660159223</v>
      </c>
      <c r="G130" s="117"/>
    </row>
    <row r="131" spans="1:7" ht="12.75" customHeight="1">
      <c r="A131" s="2" t="s">
        <v>149</v>
      </c>
      <c r="B131" s="206">
        <v>50000</v>
      </c>
      <c r="C131" s="206"/>
      <c r="D131" s="206"/>
      <c r="E131" s="160">
        <f t="shared" si="6"/>
        <v>50000</v>
      </c>
      <c r="F131" s="161">
        <f t="shared" si="5"/>
        <v>0.15966003106772816</v>
      </c>
      <c r="G131" s="117"/>
    </row>
    <row r="132" spans="1:7" ht="12.75" customHeight="1">
      <c r="A132" s="2" t="s">
        <v>193</v>
      </c>
      <c r="B132" s="206">
        <v>40000</v>
      </c>
      <c r="C132" s="206">
        <v>40000</v>
      </c>
      <c r="D132" s="206">
        <v>40000</v>
      </c>
      <c r="E132" s="160">
        <f t="shared" si="6"/>
        <v>120000</v>
      </c>
      <c r="F132" s="161">
        <f t="shared" si="5"/>
        <v>0.38318407456254755</v>
      </c>
      <c r="G132" s="117"/>
    </row>
    <row r="133" spans="1:7" ht="12.75" customHeight="1">
      <c r="A133" s="2" t="s">
        <v>138</v>
      </c>
      <c r="B133" s="206">
        <v>30000</v>
      </c>
      <c r="C133" s="206">
        <v>40000</v>
      </c>
      <c r="D133" s="206">
        <v>30000</v>
      </c>
      <c r="E133" s="160">
        <f t="shared" si="6"/>
        <v>100000</v>
      </c>
      <c r="F133" s="161">
        <f t="shared" si="5"/>
        <v>0.31932006213545633</v>
      </c>
      <c r="G133" s="117"/>
    </row>
    <row r="134" spans="1:7" ht="12.75" customHeight="1">
      <c r="A134" s="2" t="s">
        <v>124</v>
      </c>
      <c r="B134" s="206"/>
      <c r="C134" s="206">
        <v>77000</v>
      </c>
      <c r="D134" s="206">
        <v>70000</v>
      </c>
      <c r="E134" s="160">
        <f t="shared" si="6"/>
        <v>147000</v>
      </c>
      <c r="F134" s="161">
        <f t="shared" si="5"/>
        <v>0.4694004913391207</v>
      </c>
      <c r="G134" s="117"/>
    </row>
    <row r="135" spans="1:7" ht="12.75" customHeight="1">
      <c r="A135" s="2" t="s">
        <v>247</v>
      </c>
      <c r="B135" s="206">
        <v>264150</v>
      </c>
      <c r="C135" s="206">
        <v>345979</v>
      </c>
      <c r="D135" s="206">
        <v>129500</v>
      </c>
      <c r="E135" s="160">
        <f t="shared" si="6"/>
        <v>739629</v>
      </c>
      <c r="F135" s="161">
        <f t="shared" si="5"/>
        <v>2.361783782371854</v>
      </c>
      <c r="G135" s="117"/>
    </row>
    <row r="136" spans="1:7" ht="12" customHeight="1">
      <c r="A136" s="2" t="s">
        <v>253</v>
      </c>
      <c r="B136" s="206"/>
      <c r="C136" s="206">
        <v>40000</v>
      </c>
      <c r="D136" s="206"/>
      <c r="E136" s="160">
        <f aca="true" t="shared" si="7" ref="E136:E142">SUM(B136:D136)</f>
        <v>40000</v>
      </c>
      <c r="F136" s="161">
        <f t="shared" si="5"/>
        <v>0.12772802485418253</v>
      </c>
      <c r="G136" s="117"/>
    </row>
    <row r="137" spans="1:7" ht="12" customHeight="1">
      <c r="A137" s="2" t="s">
        <v>419</v>
      </c>
      <c r="B137" s="206"/>
      <c r="C137" s="206"/>
      <c r="D137" s="206">
        <v>30000</v>
      </c>
      <c r="E137" s="160">
        <f>SUM(B137:D137)</f>
        <v>30000</v>
      </c>
      <c r="F137" s="161">
        <f t="shared" si="5"/>
        <v>0.09579601864063689</v>
      </c>
      <c r="G137" s="117"/>
    </row>
    <row r="138" spans="1:7" ht="12" customHeight="1">
      <c r="A138" s="2" t="s">
        <v>293</v>
      </c>
      <c r="B138" s="206">
        <v>20000</v>
      </c>
      <c r="C138" s="206">
        <v>20000</v>
      </c>
      <c r="D138" s="206">
        <v>20000</v>
      </c>
      <c r="E138" s="160">
        <f t="shared" si="7"/>
        <v>60000</v>
      </c>
      <c r="F138" s="161">
        <f t="shared" si="5"/>
        <v>0.19159203728127377</v>
      </c>
      <c r="G138" s="117"/>
    </row>
    <row r="139" spans="1:7" ht="12" customHeight="1">
      <c r="A139" s="2" t="s">
        <v>289</v>
      </c>
      <c r="B139" s="206">
        <v>200955</v>
      </c>
      <c r="C139" s="206">
        <v>196370</v>
      </c>
      <c r="D139" s="206">
        <v>100000</v>
      </c>
      <c r="E139" s="160">
        <f t="shared" si="7"/>
        <v>497325</v>
      </c>
      <c r="F139" s="161">
        <f t="shared" si="5"/>
        <v>1.5880584990151578</v>
      </c>
      <c r="G139" s="117"/>
    </row>
    <row r="140" spans="1:7" ht="12" customHeight="1">
      <c r="A140" s="2" t="s">
        <v>290</v>
      </c>
      <c r="B140" s="206">
        <v>95000</v>
      </c>
      <c r="C140" s="206">
        <v>182646.8</v>
      </c>
      <c r="D140" s="206">
        <v>76000</v>
      </c>
      <c r="E140" s="160">
        <f t="shared" si="7"/>
        <v>353646.8</v>
      </c>
      <c r="F140" s="161">
        <f t="shared" si="5"/>
        <v>1.1292651815000527</v>
      </c>
      <c r="G140" s="117"/>
    </row>
    <row r="141" spans="1:7" ht="12" customHeight="1">
      <c r="A141" s="2" t="s">
        <v>368</v>
      </c>
      <c r="B141" s="206">
        <v>21543.6</v>
      </c>
      <c r="C141" s="206">
        <v>104362.4</v>
      </c>
      <c r="D141" s="206">
        <v>75086</v>
      </c>
      <c r="E141" s="160">
        <f t="shared" si="7"/>
        <v>200992</v>
      </c>
      <c r="F141" s="161">
        <f t="shared" si="5"/>
        <v>0.6418077792872963</v>
      </c>
      <c r="G141" s="117"/>
    </row>
    <row r="142" spans="1:7" ht="12" customHeight="1">
      <c r="A142" s="2" t="s">
        <v>291</v>
      </c>
      <c r="B142" s="206">
        <v>113875</v>
      </c>
      <c r="C142" s="206">
        <v>111500</v>
      </c>
      <c r="D142" s="206">
        <v>110471.51</v>
      </c>
      <c r="E142" s="160">
        <f t="shared" si="7"/>
        <v>335846.51</v>
      </c>
      <c r="F142" s="161">
        <f t="shared" si="5"/>
        <v>1.0724252844117614</v>
      </c>
      <c r="G142" s="117"/>
    </row>
    <row r="143" spans="2:7" ht="12" customHeight="1">
      <c r="B143" s="117"/>
      <c r="C143" s="117"/>
      <c r="D143" s="117"/>
      <c r="E143" s="117"/>
      <c r="F143" s="216"/>
      <c r="G143" s="117"/>
    </row>
    <row r="144" spans="1:7" ht="12" customHeight="1">
      <c r="A144" s="6" t="s">
        <v>276</v>
      </c>
      <c r="B144" s="208">
        <f>SUM(B129:B143)</f>
        <v>940523.6</v>
      </c>
      <c r="C144" s="208">
        <f>SUM(C129:C143)</f>
        <v>1187858.2</v>
      </c>
      <c r="D144" s="208">
        <f>SUM(D129:D143)</f>
        <v>741057.51</v>
      </c>
      <c r="E144" s="208">
        <f>SUM(E129:E143)</f>
        <v>2869439.3099999996</v>
      </c>
      <c r="F144" s="208">
        <f>SUM(F129:F143)</f>
        <v>9.162695387631207</v>
      </c>
      <c r="G144" s="117"/>
    </row>
    <row r="145" spans="2:7" ht="12" customHeight="1">
      <c r="B145" s="210"/>
      <c r="C145" s="210"/>
      <c r="D145" s="210"/>
      <c r="E145" s="210"/>
      <c r="F145" s="211"/>
      <c r="G145" s="117"/>
    </row>
    <row r="146" spans="1:7" ht="12" customHeight="1" thickBot="1">
      <c r="A146" s="6" t="s">
        <v>207</v>
      </c>
      <c r="B146" s="168">
        <f>SUM(B144+B112+B54)</f>
        <v>10171028.47</v>
      </c>
      <c r="C146" s="168">
        <f>SUM(C144+C112+C54)</f>
        <v>9909901.79</v>
      </c>
      <c r="D146" s="168">
        <f>SUM(D144+D112+D54)</f>
        <v>11235611.310000002</v>
      </c>
      <c r="E146" s="168">
        <f>SUM(E144+E112+E54)</f>
        <v>31316541.57</v>
      </c>
      <c r="F146" s="175">
        <f>SUM(F144+F112+F54)</f>
        <v>100</v>
      </c>
      <c r="G146" s="117"/>
    </row>
    <row r="147" spans="2:7" ht="12" customHeight="1" thickTop="1">
      <c r="B147" s="117"/>
      <c r="C147" s="117"/>
      <c r="D147" s="117"/>
      <c r="E147" s="117"/>
      <c r="F147" s="117"/>
      <c r="G147" s="117"/>
    </row>
    <row r="148" spans="2:7" ht="12.75">
      <c r="B148" s="117"/>
      <c r="C148" s="117"/>
      <c r="D148" s="117"/>
      <c r="E148" s="117"/>
      <c r="F148" s="117"/>
      <c r="G148" s="117"/>
    </row>
    <row r="149" spans="2:7" ht="12.75">
      <c r="B149" s="117"/>
      <c r="C149" s="117"/>
      <c r="D149" s="206"/>
      <c r="E149" s="117"/>
      <c r="F149" s="117"/>
      <c r="G149" s="117"/>
    </row>
  </sheetData>
  <mergeCells count="19">
    <mergeCell ref="A61:F61"/>
    <mergeCell ref="A62:F62"/>
    <mergeCell ref="A6:F6"/>
    <mergeCell ref="E57:F57"/>
    <mergeCell ref="A59:F59"/>
    <mergeCell ref="A60:F60"/>
    <mergeCell ref="E58:F58"/>
    <mergeCell ref="E1:F1"/>
    <mergeCell ref="A3:F3"/>
    <mergeCell ref="A4:F4"/>
    <mergeCell ref="A5:F5"/>
    <mergeCell ref="E2:F2"/>
    <mergeCell ref="A123:F123"/>
    <mergeCell ref="A120:F120"/>
    <mergeCell ref="A121:F121"/>
    <mergeCell ref="A122:F122"/>
    <mergeCell ref="E115:F115"/>
    <mergeCell ref="E117:F117"/>
    <mergeCell ref="E118:F118"/>
  </mergeCells>
  <printOptions/>
  <pageMargins left="0.89" right="0.5905511811023623" top="0.6" bottom="0.56" header="0" footer="0"/>
  <pageSetup horizontalDpi="600" verticalDpi="600" orientation="portrait" r:id="rId1"/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4" sqref="A4:F4"/>
    </sheetView>
  </sheetViews>
  <sheetFormatPr defaultColWidth="9.140625" defaultRowHeight="12.75"/>
  <cols>
    <col min="1" max="1" width="39.8515625" style="2" customWidth="1"/>
    <col min="2" max="2" width="10.57421875" style="25" customWidth="1"/>
    <col min="3" max="3" width="10.00390625" style="25" customWidth="1"/>
    <col min="4" max="4" width="10.7109375" style="25" customWidth="1"/>
    <col min="5" max="5" width="11.421875" style="25" customWidth="1"/>
    <col min="6" max="6" width="6.8515625" style="2" bestFit="1" customWidth="1"/>
    <col min="7" max="7" width="2.57421875" style="2" customWidth="1"/>
    <col min="8" max="16384" width="11.421875" style="2" customWidth="1"/>
  </cols>
  <sheetData>
    <row r="1" spans="5:6" ht="12.75">
      <c r="E1" s="246" t="s">
        <v>155</v>
      </c>
      <c r="F1" s="246"/>
    </row>
    <row r="2" spans="5:6" ht="12.75">
      <c r="E2" s="252" t="s">
        <v>434</v>
      </c>
      <c r="F2" s="246"/>
    </row>
    <row r="3" spans="1:6" ht="15">
      <c r="A3" s="245" t="s">
        <v>403</v>
      </c>
      <c r="B3" s="245"/>
      <c r="C3" s="245"/>
      <c r="D3" s="245"/>
      <c r="E3" s="245"/>
      <c r="F3" s="245"/>
    </row>
    <row r="4" spans="1:6" ht="15">
      <c r="A4" s="247" t="s">
        <v>585</v>
      </c>
      <c r="B4" s="247"/>
      <c r="C4" s="247"/>
      <c r="D4" s="247"/>
      <c r="E4" s="247"/>
      <c r="F4" s="247"/>
    </row>
    <row r="5" spans="1:6" ht="15">
      <c r="A5" s="245" t="s">
        <v>417</v>
      </c>
      <c r="B5" s="245"/>
      <c r="C5" s="245"/>
      <c r="D5" s="245"/>
      <c r="E5" s="245"/>
      <c r="F5" s="245"/>
    </row>
    <row r="6" spans="1:7" ht="15">
      <c r="A6" s="245" t="s">
        <v>490</v>
      </c>
      <c r="B6" s="245"/>
      <c r="C6" s="245"/>
      <c r="D6" s="245"/>
      <c r="E6" s="245"/>
      <c r="F6" s="245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12.75">
      <c r="A8" s="83"/>
      <c r="B8" s="83"/>
      <c r="C8" s="83"/>
      <c r="D8" s="83"/>
      <c r="E8" s="83"/>
      <c r="F8" s="3"/>
    </row>
    <row r="9" spans="1:6" ht="12.75">
      <c r="A9" s="108" t="s">
        <v>19</v>
      </c>
      <c r="B9" s="109" t="s">
        <v>487</v>
      </c>
      <c r="C9" s="109" t="s">
        <v>488</v>
      </c>
      <c r="D9" s="109" t="s">
        <v>489</v>
      </c>
      <c r="E9" s="108" t="s">
        <v>20</v>
      </c>
      <c r="F9" s="98" t="s">
        <v>21</v>
      </c>
    </row>
    <row r="10" spans="1:6" ht="12.75">
      <c r="A10" s="83"/>
      <c r="B10" s="83"/>
      <c r="C10" s="83"/>
      <c r="D10" s="83"/>
      <c r="E10" s="83"/>
      <c r="F10" s="3"/>
    </row>
    <row r="11" spans="1:6" ht="6" customHeight="1">
      <c r="A11" s="3"/>
      <c r="B11" s="26"/>
      <c r="C11" s="26"/>
      <c r="D11" s="26"/>
      <c r="E11" s="26"/>
      <c r="F11" s="84"/>
    </row>
    <row r="12" spans="1:6" ht="12.75">
      <c r="A12" s="61" t="s">
        <v>234</v>
      </c>
      <c r="B12" s="206">
        <v>221628.15</v>
      </c>
      <c r="C12" s="206">
        <v>279305.23</v>
      </c>
      <c r="D12" s="206">
        <v>98690.4</v>
      </c>
      <c r="E12" s="160">
        <f aca="true" t="shared" si="0" ref="E12:E28">SUM(B12:D12)</f>
        <v>599623.78</v>
      </c>
      <c r="F12" s="161">
        <f aca="true" t="shared" si="1" ref="F12:F29">(E12/$E$31*100)</f>
        <v>25.598071201208196</v>
      </c>
    </row>
    <row r="13" spans="1:6" ht="12.75">
      <c r="A13" s="2" t="s">
        <v>226</v>
      </c>
      <c r="B13" s="206">
        <v>30000</v>
      </c>
      <c r="C13" s="206"/>
      <c r="D13" s="206"/>
      <c r="E13" s="160">
        <f t="shared" si="0"/>
        <v>30000</v>
      </c>
      <c r="F13" s="161">
        <f t="shared" si="1"/>
        <v>1.2807066057924619</v>
      </c>
    </row>
    <row r="14" spans="1:6" ht="12.75">
      <c r="A14" s="2" t="s">
        <v>183</v>
      </c>
      <c r="B14" s="206">
        <v>4500</v>
      </c>
      <c r="C14" s="206"/>
      <c r="D14" s="206">
        <v>3500</v>
      </c>
      <c r="E14" s="160">
        <f t="shared" si="0"/>
        <v>8000</v>
      </c>
      <c r="F14" s="161">
        <f t="shared" si="1"/>
        <v>0.3415217615446565</v>
      </c>
    </row>
    <row r="15" spans="1:6" ht="12.75">
      <c r="A15" s="2" t="s">
        <v>355</v>
      </c>
      <c r="B15" s="206">
        <v>3500</v>
      </c>
      <c r="C15" s="206"/>
      <c r="D15" s="206"/>
      <c r="E15" s="160">
        <f t="shared" si="0"/>
        <v>3500</v>
      </c>
      <c r="F15" s="161">
        <f t="shared" si="1"/>
        <v>0.1494157706757872</v>
      </c>
    </row>
    <row r="16" spans="1:6" ht="12.75">
      <c r="A16" s="2" t="s">
        <v>245</v>
      </c>
      <c r="B16" s="206">
        <v>6000</v>
      </c>
      <c r="C16" s="206">
        <v>12000</v>
      </c>
      <c r="D16" s="206">
        <v>9000</v>
      </c>
      <c r="E16" s="160">
        <f t="shared" si="0"/>
        <v>27000</v>
      </c>
      <c r="F16" s="161">
        <f t="shared" si="1"/>
        <v>1.1526359452132156</v>
      </c>
    </row>
    <row r="17" spans="1:6" ht="12.75">
      <c r="A17" s="2" t="s">
        <v>105</v>
      </c>
      <c r="B17" s="160"/>
      <c r="C17" s="160">
        <v>46000</v>
      </c>
      <c r="D17" s="160">
        <v>548803.1</v>
      </c>
      <c r="E17" s="160">
        <f t="shared" si="0"/>
        <v>594803.1</v>
      </c>
      <c r="F17" s="161">
        <f t="shared" si="1"/>
        <v>25.392275310527808</v>
      </c>
    </row>
    <row r="18" spans="1:6" ht="12.75">
      <c r="A18" s="2" t="s">
        <v>95</v>
      </c>
      <c r="B18" s="160"/>
      <c r="C18" s="160">
        <v>100000</v>
      </c>
      <c r="E18" s="160">
        <f t="shared" si="0"/>
        <v>100000</v>
      </c>
      <c r="F18" s="161">
        <f t="shared" si="1"/>
        <v>4.269022019308206</v>
      </c>
    </row>
    <row r="19" spans="1:6" ht="12.75">
      <c r="A19" s="2" t="s">
        <v>256</v>
      </c>
      <c r="B19" s="160"/>
      <c r="C19" s="160"/>
      <c r="D19" s="160">
        <v>3375</v>
      </c>
      <c r="E19" s="160">
        <f t="shared" si="0"/>
        <v>3375</v>
      </c>
      <c r="F19" s="161">
        <f t="shared" si="1"/>
        <v>0.14407949315165194</v>
      </c>
    </row>
    <row r="20" spans="1:6" ht="12.75">
      <c r="A20" s="2" t="s">
        <v>97</v>
      </c>
      <c r="B20" s="160"/>
      <c r="C20" s="160"/>
      <c r="D20" s="160">
        <v>6000</v>
      </c>
      <c r="E20" s="160">
        <f t="shared" si="0"/>
        <v>6000</v>
      </c>
      <c r="F20" s="161">
        <f t="shared" si="1"/>
        <v>0.25614132115849236</v>
      </c>
    </row>
    <row r="21" spans="1:6" ht="12.75">
      <c r="A21" s="2" t="s">
        <v>285</v>
      </c>
      <c r="B21" s="160"/>
      <c r="C21" s="160">
        <v>3400</v>
      </c>
      <c r="D21" s="189"/>
      <c r="E21" s="160">
        <f t="shared" si="0"/>
        <v>3400</v>
      </c>
      <c r="F21" s="161">
        <f t="shared" si="1"/>
        <v>0.145146748656479</v>
      </c>
    </row>
    <row r="22" spans="1:6" ht="12.75">
      <c r="A22" s="2" t="s">
        <v>169</v>
      </c>
      <c r="B22" s="160">
        <v>12600</v>
      </c>
      <c r="C22" s="160">
        <v>50700</v>
      </c>
      <c r="D22" s="189"/>
      <c r="E22" s="160">
        <f t="shared" si="0"/>
        <v>63300</v>
      </c>
      <c r="F22" s="161">
        <f t="shared" si="1"/>
        <v>2.7022909382220943</v>
      </c>
    </row>
    <row r="23" spans="1:6" ht="12.75">
      <c r="A23" s="2" t="s">
        <v>383</v>
      </c>
      <c r="B23" s="160"/>
      <c r="C23" s="160">
        <v>116000</v>
      </c>
      <c r="D23" s="160">
        <v>80000</v>
      </c>
      <c r="E23" s="160">
        <f t="shared" si="0"/>
        <v>196000</v>
      </c>
      <c r="F23" s="161">
        <f t="shared" si="1"/>
        <v>8.367283157844083</v>
      </c>
    </row>
    <row r="24" spans="1:6" ht="12.75">
      <c r="A24" s="2" t="s">
        <v>232</v>
      </c>
      <c r="B24" s="160"/>
      <c r="C24" s="160">
        <v>25000</v>
      </c>
      <c r="D24" s="189"/>
      <c r="E24" s="160">
        <f t="shared" si="0"/>
        <v>25000</v>
      </c>
      <c r="F24" s="161">
        <f t="shared" si="1"/>
        <v>1.0672555048270516</v>
      </c>
    </row>
    <row r="25" spans="1:6" ht="12.75">
      <c r="A25" s="2" t="s">
        <v>162</v>
      </c>
      <c r="B25" s="160"/>
      <c r="C25" s="160">
        <v>17750</v>
      </c>
      <c r="D25" s="189"/>
      <c r="E25" s="160">
        <f t="shared" si="0"/>
        <v>17750</v>
      </c>
      <c r="F25" s="161">
        <f t="shared" si="1"/>
        <v>0.7577514084272067</v>
      </c>
    </row>
    <row r="26" spans="1:6" ht="12.75">
      <c r="A26" s="2" t="s">
        <v>106</v>
      </c>
      <c r="B26" s="160">
        <v>171000</v>
      </c>
      <c r="C26" s="160">
        <v>250000</v>
      </c>
      <c r="D26" s="160">
        <v>102000</v>
      </c>
      <c r="E26" s="160">
        <f t="shared" si="0"/>
        <v>523000</v>
      </c>
      <c r="F26" s="161">
        <f t="shared" si="1"/>
        <v>22.32698516098192</v>
      </c>
    </row>
    <row r="27" spans="1:6" ht="12.75">
      <c r="A27" s="2" t="s">
        <v>114</v>
      </c>
      <c r="B27" s="160"/>
      <c r="C27" s="160">
        <v>66750</v>
      </c>
      <c r="D27" s="189"/>
      <c r="E27" s="160">
        <f t="shared" si="0"/>
        <v>66750</v>
      </c>
      <c r="F27" s="161">
        <f t="shared" si="1"/>
        <v>2.8495721978882274</v>
      </c>
    </row>
    <row r="28" spans="1:6" ht="12.75">
      <c r="A28" s="2" t="s">
        <v>107</v>
      </c>
      <c r="B28" s="160">
        <v>50000</v>
      </c>
      <c r="C28" s="160"/>
      <c r="D28" s="189"/>
      <c r="E28" s="160">
        <f t="shared" si="0"/>
        <v>50000</v>
      </c>
      <c r="F28" s="161">
        <f t="shared" si="1"/>
        <v>2.134511009654103</v>
      </c>
    </row>
    <row r="29" spans="1:6" ht="12.75">
      <c r="A29" s="2" t="s">
        <v>247</v>
      </c>
      <c r="B29" s="2"/>
      <c r="C29" s="160"/>
      <c r="D29" s="160">
        <v>24955</v>
      </c>
      <c r="E29" s="160">
        <f>SUM(C29:D29)</f>
        <v>24955</v>
      </c>
      <c r="F29" s="161">
        <f t="shared" si="1"/>
        <v>1.0653344449183628</v>
      </c>
    </row>
    <row r="30" spans="2:6" ht="12.75">
      <c r="B30" s="206"/>
      <c r="C30" s="206"/>
      <c r="D30" s="206"/>
      <c r="E30" s="160"/>
      <c r="F30" s="161"/>
    </row>
    <row r="31" spans="1:7" ht="13.5" thickBot="1">
      <c r="A31" s="6" t="s">
        <v>126</v>
      </c>
      <c r="B31" s="217">
        <f>SUM(B12:B30)</f>
        <v>499228.15</v>
      </c>
      <c r="C31" s="217">
        <f>SUM(C12:C30)</f>
        <v>966905.23</v>
      </c>
      <c r="D31" s="217">
        <f>SUM(D12:D30)</f>
        <v>876323.5</v>
      </c>
      <c r="E31" s="217">
        <f>SUM(E12:E30)</f>
        <v>2342456.88</v>
      </c>
      <c r="F31" s="217">
        <f>SUM(F12:F30)</f>
        <v>100</v>
      </c>
      <c r="G31" s="85"/>
    </row>
    <row r="32" spans="2:6" ht="13.5" thickTop="1">
      <c r="B32" s="117"/>
      <c r="C32" s="117"/>
      <c r="D32" s="117"/>
      <c r="E32" s="117"/>
      <c r="F32" s="117"/>
    </row>
    <row r="33" ht="12.75">
      <c r="D33" s="27"/>
    </row>
    <row r="34" ht="12.75">
      <c r="D34" s="27"/>
    </row>
    <row r="55" ht="12.75">
      <c r="A55" s="10"/>
    </row>
    <row r="56" ht="12.75">
      <c r="A56" s="10"/>
    </row>
    <row r="57" spans="1:7" ht="12.75">
      <c r="A57" s="21"/>
      <c r="B57" s="94"/>
      <c r="C57" s="94"/>
      <c r="D57" s="94"/>
      <c r="E57" s="94"/>
      <c r="F57" s="94"/>
      <c r="G57" s="94"/>
    </row>
  </sheetData>
  <mergeCells count="6">
    <mergeCell ref="A6:F6"/>
    <mergeCell ref="E1:F1"/>
    <mergeCell ref="A3:F3"/>
    <mergeCell ref="A4:F4"/>
    <mergeCell ref="A5:F5"/>
    <mergeCell ref="E2:F2"/>
  </mergeCells>
  <printOptions/>
  <pageMargins left="0.984251968503937" right="0.5905511811023623" top="0.58" bottom="0.72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I16" sqref="I16"/>
    </sheetView>
  </sheetViews>
  <sheetFormatPr defaultColWidth="9.140625" defaultRowHeight="12.75"/>
  <cols>
    <col min="1" max="1" width="36.7109375" style="2" customWidth="1"/>
    <col min="2" max="2" width="11.140625" style="25" customWidth="1"/>
    <col min="3" max="3" width="11.421875" style="25" customWidth="1"/>
    <col min="4" max="4" width="11.140625" style="25" customWidth="1"/>
    <col min="5" max="5" width="12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6" t="s">
        <v>156</v>
      </c>
      <c r="F1" s="246"/>
    </row>
    <row r="2" spans="5:6" ht="12.75">
      <c r="E2" s="253" t="s">
        <v>434</v>
      </c>
      <c r="F2" s="246"/>
    </row>
    <row r="3" spans="1:6" ht="15">
      <c r="A3" s="245" t="s">
        <v>403</v>
      </c>
      <c r="B3" s="245"/>
      <c r="C3" s="245"/>
      <c r="D3" s="245"/>
      <c r="E3" s="245"/>
      <c r="F3" s="245"/>
    </row>
    <row r="4" spans="1:6" ht="15">
      <c r="A4" s="247" t="s">
        <v>585</v>
      </c>
      <c r="B4" s="247"/>
      <c r="C4" s="247"/>
      <c r="D4" s="247"/>
      <c r="E4" s="247"/>
      <c r="F4" s="247"/>
    </row>
    <row r="5" spans="1:6" ht="15">
      <c r="A5" s="245" t="s">
        <v>418</v>
      </c>
      <c r="B5" s="245"/>
      <c r="C5" s="245"/>
      <c r="D5" s="245"/>
      <c r="E5" s="245"/>
      <c r="F5" s="245"/>
    </row>
    <row r="6" spans="1:7" ht="15">
      <c r="A6" s="245" t="s">
        <v>490</v>
      </c>
      <c r="B6" s="245"/>
      <c r="C6" s="245"/>
      <c r="D6" s="245"/>
      <c r="E6" s="245"/>
      <c r="F6" s="245"/>
      <c r="G6" s="41"/>
    </row>
    <row r="7" spans="1:6" ht="8.25" customHeight="1">
      <c r="A7" s="19"/>
      <c r="B7" s="19"/>
      <c r="C7" s="19"/>
      <c r="D7" s="19"/>
      <c r="E7" s="19"/>
      <c r="F7" s="19"/>
    </row>
    <row r="8" spans="1:6" ht="8.25" customHeight="1">
      <c r="A8" s="19"/>
      <c r="B8" s="19"/>
      <c r="C8" s="19"/>
      <c r="D8" s="19"/>
      <c r="E8" s="19"/>
      <c r="F8" s="19"/>
    </row>
    <row r="9" spans="1:6" ht="8.25" customHeight="1">
      <c r="A9" s="19"/>
      <c r="B9" s="19"/>
      <c r="C9" s="19"/>
      <c r="D9" s="19"/>
      <c r="E9" s="19"/>
      <c r="F9" s="19"/>
    </row>
    <row r="10" spans="1:6" ht="8.25" customHeight="1">
      <c r="A10" s="19"/>
      <c r="B10" s="19"/>
      <c r="C10" s="19"/>
      <c r="D10" s="19"/>
      <c r="E10" s="19"/>
      <c r="F10" s="19"/>
    </row>
    <row r="11" spans="1:6" ht="12.75">
      <c r="A11" s="83"/>
      <c r="B11" s="83"/>
      <c r="C11" s="83"/>
      <c r="D11" s="236"/>
      <c r="E11" s="83"/>
      <c r="F11" s="3"/>
    </row>
    <row r="12" spans="1:6" ht="12.75">
      <c r="A12" s="108" t="s">
        <v>19</v>
      </c>
      <c r="B12" s="109" t="s">
        <v>487</v>
      </c>
      <c r="C12" s="109" t="s">
        <v>488</v>
      </c>
      <c r="D12" s="109" t="s">
        <v>489</v>
      </c>
      <c r="E12" s="108" t="s">
        <v>20</v>
      </c>
      <c r="F12" s="98" t="s">
        <v>21</v>
      </c>
    </row>
    <row r="13" spans="1:6" ht="9" customHeight="1">
      <c r="A13" s="83"/>
      <c r="B13" s="83"/>
      <c r="C13" s="83"/>
      <c r="D13" s="83"/>
      <c r="E13" s="83"/>
      <c r="F13" s="3"/>
    </row>
    <row r="14" spans="2:6" ht="7.5" customHeight="1">
      <c r="B14" s="26"/>
      <c r="C14" s="26"/>
      <c r="D14" s="26"/>
      <c r="E14" s="26"/>
      <c r="F14" s="3"/>
    </row>
    <row r="15" spans="1:6" ht="19.5" customHeight="1">
      <c r="A15" s="2" t="s">
        <v>104</v>
      </c>
      <c r="B15" s="218">
        <f>1911867.26-26892</f>
        <v>1884975.26</v>
      </c>
      <c r="C15" s="218">
        <v>753157.25</v>
      </c>
      <c r="D15" s="218">
        <v>2167168.54</v>
      </c>
      <c r="E15" s="206">
        <f>SUM(B15:D15)</f>
        <v>4805301.05</v>
      </c>
      <c r="F15" s="161">
        <f>(E15/$E$20*100)</f>
        <v>17.46705205009821</v>
      </c>
    </row>
    <row r="16" spans="1:6" ht="19.5" customHeight="1">
      <c r="A16" s="2" t="s">
        <v>343</v>
      </c>
      <c r="B16" s="218"/>
      <c r="C16" s="218"/>
      <c r="D16" s="218">
        <v>453100</v>
      </c>
      <c r="E16" s="206">
        <f>SUM(B16:D16)</f>
        <v>453100</v>
      </c>
      <c r="F16" s="161">
        <f>(E16/$E$20*100)</f>
        <v>1.6469980135582767</v>
      </c>
    </row>
    <row r="17" spans="1:6" ht="19.5" customHeight="1">
      <c r="A17" s="2" t="s">
        <v>229</v>
      </c>
      <c r="B17" s="218">
        <v>4372617.49</v>
      </c>
      <c r="C17" s="218">
        <v>5556905.49</v>
      </c>
      <c r="D17" s="218">
        <f>2633886.96-124398.5</f>
        <v>2509488.46</v>
      </c>
      <c r="E17" s="206">
        <f>SUM(B17:D17)</f>
        <v>12439011.440000001</v>
      </c>
      <c r="F17" s="161">
        <f>(E17/$E$20*100)</f>
        <v>45.21524416753184</v>
      </c>
    </row>
    <row r="18" spans="1:6" ht="19.5" customHeight="1">
      <c r="A18" s="2" t="s">
        <v>160</v>
      </c>
      <c r="B18" s="218">
        <v>4363246.07</v>
      </c>
      <c r="C18" s="218">
        <v>4450000</v>
      </c>
      <c r="D18" s="218">
        <v>1000000</v>
      </c>
      <c r="E18" s="206">
        <f>SUM(B18:D18)</f>
        <v>9813246.07</v>
      </c>
      <c r="F18" s="161">
        <f>(E18/$E$20*100)</f>
        <v>35.67070576881166</v>
      </c>
    </row>
    <row r="19" spans="2:6" ht="12.75">
      <c r="B19" s="206"/>
      <c r="C19" s="206"/>
      <c r="D19" s="160"/>
      <c r="E19" s="206"/>
      <c r="F19" s="161"/>
    </row>
    <row r="20" spans="1:6" ht="13.5" thickBot="1">
      <c r="A20" s="6" t="s">
        <v>126</v>
      </c>
      <c r="B20" s="179">
        <f>SUM(B15:B18)</f>
        <v>10620838.82</v>
      </c>
      <c r="C20" s="179">
        <f>SUM(C15:C18)</f>
        <v>10760062.74</v>
      </c>
      <c r="D20" s="179">
        <f>SUM(D15:D18)</f>
        <v>6129757</v>
      </c>
      <c r="E20" s="179">
        <f>SUM(E15:E18)</f>
        <v>27510658.560000002</v>
      </c>
      <c r="F20" s="179">
        <f>SUM(F15:F18)</f>
        <v>99.99999999999999</v>
      </c>
    </row>
    <row r="21" ht="13.5" thickTop="1"/>
    <row r="23" ht="12.75">
      <c r="C23" s="2"/>
    </row>
    <row r="25" ht="12.75">
      <c r="C25" s="218"/>
    </row>
  </sheetData>
  <mergeCells count="6">
    <mergeCell ref="A6:F6"/>
    <mergeCell ref="E1:F1"/>
    <mergeCell ref="A3:F3"/>
    <mergeCell ref="A4:F4"/>
    <mergeCell ref="A5:F5"/>
    <mergeCell ref="E2:F2"/>
  </mergeCells>
  <printOptions/>
  <pageMargins left="0.984251968503937" right="0.5905511811023623" top="0.58" bottom="0.98425196850393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G30" sqref="G30"/>
    </sheetView>
  </sheetViews>
  <sheetFormatPr defaultColWidth="9.140625" defaultRowHeight="12.75"/>
  <cols>
    <col min="1" max="1" width="42.57421875" style="0" customWidth="1"/>
    <col min="2" max="2" width="17.7109375" style="0" customWidth="1"/>
    <col min="3" max="3" width="12.7109375" style="0" customWidth="1"/>
    <col min="4" max="4" width="14.421875" style="0" customWidth="1"/>
    <col min="5" max="5" width="2.8515625" style="0" customWidth="1"/>
    <col min="6" max="16384" width="11.421875" style="0" customWidth="1"/>
  </cols>
  <sheetData>
    <row r="1" spans="1:5" ht="12.75">
      <c r="A1" s="2"/>
      <c r="B1" s="2"/>
      <c r="C1" s="4"/>
      <c r="D1" s="31" t="s">
        <v>18</v>
      </c>
      <c r="E1" s="2"/>
    </row>
    <row r="2" spans="1:5" ht="12.75">
      <c r="A2" s="2"/>
      <c r="B2" s="2"/>
      <c r="C2" s="4"/>
      <c r="D2" s="126" t="s">
        <v>435</v>
      </c>
      <c r="E2" s="2"/>
    </row>
    <row r="3" spans="1:5" ht="15">
      <c r="A3" s="245" t="s">
        <v>403</v>
      </c>
      <c r="B3" s="245"/>
      <c r="C3" s="245"/>
      <c r="D3" s="245"/>
      <c r="E3" s="2"/>
    </row>
    <row r="4" spans="1:5" ht="15">
      <c r="A4" s="245" t="s">
        <v>585</v>
      </c>
      <c r="B4" s="245"/>
      <c r="C4" s="245"/>
      <c r="D4" s="245"/>
      <c r="E4" s="2"/>
    </row>
    <row r="5" spans="1:5" ht="15">
      <c r="A5" s="245" t="s">
        <v>491</v>
      </c>
      <c r="B5" s="245"/>
      <c r="C5" s="245"/>
      <c r="D5" s="245"/>
      <c r="E5" s="2"/>
    </row>
    <row r="6" spans="1:5" ht="15">
      <c r="A6" s="105"/>
      <c r="B6" s="105"/>
      <c r="C6" s="105"/>
      <c r="D6" s="105"/>
      <c r="E6" s="2"/>
    </row>
    <row r="7" spans="1:5" ht="15">
      <c r="A7" s="105"/>
      <c r="B7" s="105"/>
      <c r="C7" s="105"/>
      <c r="D7" s="105"/>
      <c r="E7" s="2"/>
    </row>
    <row r="8" spans="1:5" ht="12.75">
      <c r="A8" s="19"/>
      <c r="B8" s="19"/>
      <c r="C8" s="111"/>
      <c r="D8" s="32"/>
      <c r="E8" s="2"/>
    </row>
    <row r="9" spans="1:5" ht="12.75">
      <c r="A9" s="19"/>
      <c r="B9" s="19"/>
      <c r="C9" s="3"/>
      <c r="D9" s="32"/>
      <c r="E9" s="2"/>
    </row>
    <row r="10" spans="1:5" ht="12.75">
      <c r="A10" s="98" t="s">
        <v>218</v>
      </c>
      <c r="B10" s="98" t="s">
        <v>157</v>
      </c>
      <c r="C10" s="98" t="s">
        <v>125</v>
      </c>
      <c r="D10" s="104" t="s">
        <v>20</v>
      </c>
      <c r="E10" s="2"/>
    </row>
    <row r="11" spans="1:5" ht="12.75">
      <c r="A11" s="3"/>
      <c r="B11" s="3"/>
      <c r="C11" s="3"/>
      <c r="D11" s="26"/>
      <c r="E11" s="2"/>
    </row>
    <row r="12" spans="1:5" ht="12.75">
      <c r="A12" s="3"/>
      <c r="B12" s="3"/>
      <c r="C12" s="3"/>
      <c r="D12" s="26"/>
      <c r="E12" s="2"/>
    </row>
    <row r="13" spans="1:5" ht="12.75">
      <c r="A13" s="86" t="s">
        <v>313</v>
      </c>
      <c r="B13" s="9"/>
      <c r="C13" s="87"/>
      <c r="D13" s="26"/>
      <c r="E13" s="2"/>
    </row>
    <row r="14" spans="1:5" ht="12.75">
      <c r="A14" s="61" t="s">
        <v>277</v>
      </c>
      <c r="B14" s="9"/>
      <c r="C14" s="87"/>
      <c r="D14" s="188">
        <v>308103</v>
      </c>
      <c r="E14" s="2"/>
    </row>
    <row r="15" spans="1:5" ht="12.75">
      <c r="A15" s="9" t="s">
        <v>194</v>
      </c>
      <c r="B15" s="9" t="s">
        <v>235</v>
      </c>
      <c r="C15" s="87">
        <v>65500611576</v>
      </c>
      <c r="D15" s="188">
        <v>-51130</v>
      </c>
      <c r="E15" s="14" t="s">
        <v>23</v>
      </c>
    </row>
    <row r="16" spans="1:5" ht="12.75">
      <c r="A16" s="9" t="s">
        <v>195</v>
      </c>
      <c r="B16" s="9" t="s">
        <v>235</v>
      </c>
      <c r="C16" s="87">
        <v>65501323444</v>
      </c>
      <c r="D16" s="188">
        <v>747362.35</v>
      </c>
      <c r="E16" s="14"/>
    </row>
    <row r="17" spans="1:5" ht="12.75">
      <c r="A17" s="9" t="s">
        <v>127</v>
      </c>
      <c r="B17" s="9" t="s">
        <v>235</v>
      </c>
      <c r="C17" s="87">
        <v>65500611562</v>
      </c>
      <c r="D17" s="188">
        <v>218430.83</v>
      </c>
      <c r="E17" s="14" t="s">
        <v>24</v>
      </c>
    </row>
    <row r="18" spans="1:5" ht="12.75">
      <c r="A18" s="9" t="s">
        <v>270</v>
      </c>
      <c r="B18" s="9" t="s">
        <v>235</v>
      </c>
      <c r="C18" s="87">
        <v>65501752447</v>
      </c>
      <c r="D18" s="188">
        <v>5421.43</v>
      </c>
      <c r="E18" s="2"/>
    </row>
    <row r="19" spans="1:4" ht="12.75">
      <c r="A19" s="8" t="s">
        <v>241</v>
      </c>
      <c r="B19" s="9" t="s">
        <v>235</v>
      </c>
      <c r="C19" s="87">
        <v>65501752416</v>
      </c>
      <c r="D19" s="188">
        <f>42200571.7</f>
        <v>42200571.7</v>
      </c>
    </row>
    <row r="20" spans="1:5" ht="12.75">
      <c r="A20" s="8" t="s">
        <v>194</v>
      </c>
      <c r="B20" s="9" t="s">
        <v>235</v>
      </c>
      <c r="C20" s="87">
        <v>65501752433</v>
      </c>
      <c r="D20" s="188">
        <v>-72022.44</v>
      </c>
      <c r="E20" s="14" t="s">
        <v>27</v>
      </c>
    </row>
    <row r="21" spans="1:4" ht="12.75">
      <c r="A21" s="9" t="s">
        <v>271</v>
      </c>
      <c r="B21" s="9" t="s">
        <v>235</v>
      </c>
      <c r="C21" s="87">
        <v>65501761036</v>
      </c>
      <c r="D21" s="188">
        <v>1485830.68</v>
      </c>
    </row>
    <row r="22" spans="1:5" ht="12.75">
      <c r="A22" s="9" t="s">
        <v>346</v>
      </c>
      <c r="B22" s="9" t="s">
        <v>235</v>
      </c>
      <c r="C22" s="87">
        <v>65501790364</v>
      </c>
      <c r="D22" s="188">
        <v>730322.95</v>
      </c>
      <c r="E22" s="2"/>
    </row>
    <row r="23" spans="1:5" ht="12.75">
      <c r="A23" s="8" t="s">
        <v>200</v>
      </c>
      <c r="B23" s="9" t="s">
        <v>236</v>
      </c>
      <c r="C23" s="87" t="s">
        <v>130</v>
      </c>
      <c r="D23" s="188">
        <v>291767.65</v>
      </c>
      <c r="E23" s="2"/>
    </row>
    <row r="24" spans="1:5" ht="12.75">
      <c r="A24" s="8" t="s">
        <v>348</v>
      </c>
      <c r="B24" s="9" t="s">
        <v>237</v>
      </c>
      <c r="C24" s="87">
        <v>4031053267</v>
      </c>
      <c r="D24" s="188">
        <v>9993.11</v>
      </c>
      <c r="E24" s="2"/>
    </row>
    <row r="25" spans="1:5" ht="12.75">
      <c r="A25" s="8" t="s">
        <v>194</v>
      </c>
      <c r="B25" s="9" t="s">
        <v>235</v>
      </c>
      <c r="C25" s="87">
        <v>51908075257</v>
      </c>
      <c r="D25" s="188">
        <v>-2926.34</v>
      </c>
      <c r="E25" s="14" t="s">
        <v>24</v>
      </c>
    </row>
    <row r="26" spans="1:5" ht="12.75">
      <c r="A26" s="8" t="s">
        <v>194</v>
      </c>
      <c r="B26" s="9" t="s">
        <v>144</v>
      </c>
      <c r="C26" s="88" t="s">
        <v>174</v>
      </c>
      <c r="D26" s="188">
        <v>-134767</v>
      </c>
      <c r="E26" s="14" t="s">
        <v>23</v>
      </c>
    </row>
    <row r="27" spans="1:5" ht="12.75">
      <c r="A27" s="8" t="s">
        <v>242</v>
      </c>
      <c r="B27" s="9" t="s">
        <v>144</v>
      </c>
      <c r="C27" s="88" t="s">
        <v>385</v>
      </c>
      <c r="D27" s="188">
        <v>1960</v>
      </c>
      <c r="E27" s="14"/>
    </row>
    <row r="28" spans="1:5" ht="12.75">
      <c r="A28" s="8" t="s">
        <v>242</v>
      </c>
      <c r="B28" s="9" t="s">
        <v>144</v>
      </c>
      <c r="C28" s="88" t="s">
        <v>244</v>
      </c>
      <c r="D28" s="188">
        <v>15936942.44</v>
      </c>
      <c r="E28" s="2"/>
    </row>
    <row r="29" spans="1:5" ht="12.75">
      <c r="A29" s="8" t="s">
        <v>242</v>
      </c>
      <c r="B29" s="9" t="s">
        <v>144</v>
      </c>
      <c r="C29" s="88" t="s">
        <v>269</v>
      </c>
      <c r="D29" s="188">
        <v>5647080.04</v>
      </c>
      <c r="E29" s="14"/>
    </row>
    <row r="30" spans="1:5" ht="12.75">
      <c r="A30" s="8" t="s">
        <v>241</v>
      </c>
      <c r="B30" s="9" t="s">
        <v>144</v>
      </c>
      <c r="C30" s="88" t="s">
        <v>303</v>
      </c>
      <c r="D30" s="188">
        <v>1491441.52</v>
      </c>
      <c r="E30" s="14"/>
    </row>
    <row r="31" spans="1:5" ht="12.75">
      <c r="A31" s="8" t="s">
        <v>364</v>
      </c>
      <c r="B31" s="9" t="s">
        <v>235</v>
      </c>
      <c r="C31" s="87">
        <v>65501896472</v>
      </c>
      <c r="D31" s="188">
        <v>139257.71</v>
      </c>
      <c r="E31" s="2"/>
    </row>
    <row r="32" spans="1:5" ht="12.75">
      <c r="A32" s="9" t="s">
        <v>372</v>
      </c>
      <c r="B32" s="9" t="s">
        <v>235</v>
      </c>
      <c r="C32" s="87">
        <v>65501928095</v>
      </c>
      <c r="D32" s="188">
        <v>63582616.97</v>
      </c>
      <c r="E32" s="2"/>
    </row>
    <row r="33" spans="1:5" ht="12.75">
      <c r="A33" s="2"/>
      <c r="B33" s="2"/>
      <c r="C33" s="4"/>
      <c r="D33" s="117"/>
      <c r="E33" s="2"/>
    </row>
    <row r="34" spans="1:5" ht="12.75">
      <c r="A34" s="6" t="s">
        <v>175</v>
      </c>
      <c r="B34" s="2"/>
      <c r="C34" s="4"/>
      <c r="D34" s="191">
        <f>SUM(D14:D33)</f>
        <v>132536256.6</v>
      </c>
      <c r="E34" s="2"/>
    </row>
    <row r="35" spans="1:5" ht="12.75">
      <c r="A35" s="2"/>
      <c r="B35" s="2"/>
      <c r="C35" s="4"/>
      <c r="D35" s="117"/>
      <c r="E35" s="2"/>
    </row>
    <row r="36" spans="1:5" ht="12.75">
      <c r="A36" s="10" t="s">
        <v>217</v>
      </c>
      <c r="B36" s="2"/>
      <c r="C36" s="4"/>
      <c r="D36" s="117"/>
      <c r="E36" s="2"/>
    </row>
    <row r="37" spans="1:5" ht="12.75">
      <c r="A37" s="2"/>
      <c r="B37" s="2"/>
      <c r="C37" s="4"/>
      <c r="D37" s="117"/>
      <c r="E37" s="2"/>
    </row>
    <row r="38" spans="1:5" ht="12.75">
      <c r="A38" s="9" t="s">
        <v>201</v>
      </c>
      <c r="B38" s="9" t="s">
        <v>235</v>
      </c>
      <c r="C38" s="88" t="s">
        <v>317</v>
      </c>
      <c r="D38" s="188">
        <v>321.9</v>
      </c>
      <c r="E38" s="2"/>
    </row>
    <row r="39" spans="1:5" ht="12.75">
      <c r="A39" s="9" t="s">
        <v>514</v>
      </c>
      <c r="B39" s="9" t="s">
        <v>513</v>
      </c>
      <c r="C39" s="88" t="s">
        <v>515</v>
      </c>
      <c r="D39" s="188">
        <v>525325.16</v>
      </c>
      <c r="E39" s="2"/>
    </row>
    <row r="40" spans="1:5" ht="12.75">
      <c r="A40" s="2"/>
      <c r="B40" s="2"/>
      <c r="C40" s="4"/>
      <c r="D40" s="117"/>
      <c r="E40" s="2"/>
    </row>
    <row r="41" spans="1:5" ht="12.75">
      <c r="A41" s="6" t="s">
        <v>203</v>
      </c>
      <c r="B41" s="2"/>
      <c r="C41" s="4"/>
      <c r="D41" s="215">
        <f>SUM(D38:D40)</f>
        <v>525647.06</v>
      </c>
      <c r="E41" s="2"/>
    </row>
    <row r="42" spans="1:5" ht="12.75">
      <c r="A42" s="6"/>
      <c r="B42" s="2"/>
      <c r="C42" s="4"/>
      <c r="D42" s="187"/>
      <c r="E42" s="2"/>
    </row>
    <row r="43" spans="1:5" ht="12.75">
      <c r="A43" s="6"/>
      <c r="B43" s="2"/>
      <c r="C43" s="4"/>
      <c r="D43" s="187"/>
      <c r="E43" s="2"/>
    </row>
    <row r="44" spans="1:5" ht="12.75">
      <c r="A44" s="6"/>
      <c r="B44" s="2"/>
      <c r="C44" s="4"/>
      <c r="D44" s="187"/>
      <c r="E44" s="2"/>
    </row>
    <row r="45" spans="1:5" ht="12.75">
      <c r="A45" s="6"/>
      <c r="B45" s="2"/>
      <c r="C45" s="4"/>
      <c r="D45" s="187"/>
      <c r="E45" s="2"/>
    </row>
    <row r="46" spans="1:5" ht="12.75">
      <c r="A46" s="6"/>
      <c r="B46" s="2"/>
      <c r="C46" s="4"/>
      <c r="D46" s="187"/>
      <c r="E46" s="2"/>
    </row>
    <row r="47" spans="1:5" ht="12.75">
      <c r="A47" s="6"/>
      <c r="B47" s="2"/>
      <c r="C47" s="4"/>
      <c r="D47" s="187"/>
      <c r="E47" s="2"/>
    </row>
    <row r="48" spans="1:5" ht="12.75">
      <c r="A48" s="6"/>
      <c r="B48" s="2"/>
      <c r="C48" s="4"/>
      <c r="D48" s="187"/>
      <c r="E48" s="2"/>
    </row>
    <row r="49" spans="1:5" ht="12.75">
      <c r="A49" s="6"/>
      <c r="B49" s="2"/>
      <c r="C49" s="4"/>
      <c r="D49" s="187"/>
      <c r="E49" s="2"/>
    </row>
    <row r="50" spans="1:5" ht="12.75">
      <c r="A50" s="6"/>
      <c r="B50" s="2"/>
      <c r="C50" s="4"/>
      <c r="D50" s="187"/>
      <c r="E50" s="2"/>
    </row>
    <row r="51" spans="1:5" ht="12.75">
      <c r="A51" s="6"/>
      <c r="B51" s="2"/>
      <c r="C51" s="4"/>
      <c r="D51" s="187"/>
      <c r="E51" s="2"/>
    </row>
    <row r="52" spans="1:5" ht="12.75">
      <c r="A52" s="6"/>
      <c r="B52" s="2"/>
      <c r="C52" s="4"/>
      <c r="D52" s="187"/>
      <c r="E52" s="2"/>
    </row>
    <row r="53" spans="1:5" ht="12.75">
      <c r="A53" s="6"/>
      <c r="B53" s="2"/>
      <c r="C53" s="4"/>
      <c r="D53" s="187"/>
      <c r="E53" s="2"/>
    </row>
    <row r="54" spans="1:5" ht="12.75">
      <c r="A54" s="2"/>
      <c r="B54" s="2"/>
      <c r="C54" s="4"/>
      <c r="D54" s="31" t="s">
        <v>18</v>
      </c>
      <c r="E54" s="2"/>
    </row>
    <row r="55" spans="1:5" ht="12.75">
      <c r="A55" s="2"/>
      <c r="B55" s="2"/>
      <c r="C55" s="4"/>
      <c r="D55" s="126" t="s">
        <v>436</v>
      </c>
      <c r="E55" s="2"/>
    </row>
    <row r="56" spans="1:5" ht="15">
      <c r="A56" s="245" t="s">
        <v>403</v>
      </c>
      <c r="B56" s="245"/>
      <c r="C56" s="245"/>
      <c r="D56" s="245"/>
      <c r="E56" s="2"/>
    </row>
    <row r="57" spans="1:5" ht="15">
      <c r="A57" s="245" t="s">
        <v>585</v>
      </c>
      <c r="B57" s="245"/>
      <c r="C57" s="245"/>
      <c r="D57" s="245"/>
      <c r="E57" s="2"/>
    </row>
    <row r="58" spans="1:5" ht="15">
      <c r="A58" s="245" t="s">
        <v>491</v>
      </c>
      <c r="B58" s="245"/>
      <c r="C58" s="245"/>
      <c r="D58" s="245"/>
      <c r="E58" s="2"/>
    </row>
    <row r="59" spans="1:5" ht="15">
      <c r="A59" s="105"/>
      <c r="B59" s="105"/>
      <c r="C59" s="105"/>
      <c r="D59" s="105"/>
      <c r="E59" s="2"/>
    </row>
    <row r="60" spans="1:5" ht="15">
      <c r="A60" s="105"/>
      <c r="B60" s="105"/>
      <c r="C60" s="105"/>
      <c r="D60" s="105"/>
      <c r="E60" s="2"/>
    </row>
    <row r="61" spans="1:5" ht="12.75">
      <c r="A61" s="19"/>
      <c r="B61" s="19"/>
      <c r="C61" s="111"/>
      <c r="D61" s="32"/>
      <c r="E61" s="2"/>
    </row>
    <row r="62" spans="1:5" ht="12.75">
      <c r="A62" s="19"/>
      <c r="B62" s="19"/>
      <c r="C62" s="3"/>
      <c r="D62" s="32"/>
      <c r="E62" s="2"/>
    </row>
    <row r="63" spans="1:5" ht="12.75">
      <c r="A63" s="98" t="s">
        <v>218</v>
      </c>
      <c r="B63" s="98" t="s">
        <v>157</v>
      </c>
      <c r="C63" s="98" t="s">
        <v>125</v>
      </c>
      <c r="D63" s="104" t="s">
        <v>20</v>
      </c>
      <c r="E63" s="2"/>
    </row>
    <row r="64" spans="1:5" ht="12.75">
      <c r="A64" s="3"/>
      <c r="B64" s="3"/>
      <c r="C64" s="3"/>
      <c r="D64" s="26"/>
      <c r="E64" s="2"/>
    </row>
    <row r="65" spans="1:5" ht="12.75">
      <c r="A65" s="3"/>
      <c r="B65" s="3"/>
      <c r="C65" s="3"/>
      <c r="D65" s="26"/>
      <c r="E65" s="2"/>
    </row>
    <row r="66" spans="1:5" ht="12.75">
      <c r="A66" s="10" t="s">
        <v>204</v>
      </c>
      <c r="B66" s="2"/>
      <c r="C66" s="4"/>
      <c r="D66" s="25"/>
      <c r="E66" s="2"/>
    </row>
    <row r="67" spans="1:4" ht="12.75">
      <c r="A67" s="2"/>
      <c r="B67" s="2"/>
      <c r="C67" s="4"/>
      <c r="D67" s="25"/>
    </row>
    <row r="68" spans="1:5" ht="12.75">
      <c r="A68" s="8" t="s">
        <v>202</v>
      </c>
      <c r="B68" s="9" t="s">
        <v>235</v>
      </c>
      <c r="C68" s="87" t="s">
        <v>128</v>
      </c>
      <c r="D68" s="188">
        <v>15778.62</v>
      </c>
      <c r="E68" s="14" t="s">
        <v>314</v>
      </c>
    </row>
    <row r="69" spans="1:5" ht="12.75">
      <c r="A69" s="8" t="s">
        <v>205</v>
      </c>
      <c r="B69" s="9" t="s">
        <v>235</v>
      </c>
      <c r="C69" s="87" t="s">
        <v>129</v>
      </c>
      <c r="D69" s="188">
        <v>746658.18</v>
      </c>
      <c r="E69" s="14" t="s">
        <v>315</v>
      </c>
    </row>
    <row r="70" spans="1:5" ht="12.75">
      <c r="A70" s="9" t="s">
        <v>132</v>
      </c>
      <c r="B70" s="9" t="s">
        <v>235</v>
      </c>
      <c r="C70" s="87" t="s">
        <v>133</v>
      </c>
      <c r="D70" s="188">
        <v>20206241.18</v>
      </c>
      <c r="E70" s="2"/>
    </row>
    <row r="71" spans="1:5" ht="12.75">
      <c r="A71" s="9" t="s">
        <v>94</v>
      </c>
      <c r="B71" s="9" t="s">
        <v>238</v>
      </c>
      <c r="C71" s="87" t="s">
        <v>131</v>
      </c>
      <c r="D71" s="188">
        <v>2067.5</v>
      </c>
      <c r="E71" s="2"/>
    </row>
    <row r="72" spans="1:5" ht="12.75">
      <c r="A72" s="9" t="s">
        <v>196</v>
      </c>
      <c r="B72" s="9" t="s">
        <v>239</v>
      </c>
      <c r="C72" s="87" t="s">
        <v>135</v>
      </c>
      <c r="D72" s="188">
        <v>2223852.63</v>
      </c>
      <c r="E72" s="2"/>
    </row>
    <row r="73" spans="1:5" ht="12.75">
      <c r="A73" s="9" t="s">
        <v>146</v>
      </c>
      <c r="B73" s="9" t="s">
        <v>235</v>
      </c>
      <c r="C73" s="87" t="s">
        <v>145</v>
      </c>
      <c r="D73" s="188">
        <v>1273837.98</v>
      </c>
      <c r="E73" s="2"/>
    </row>
    <row r="74" spans="1:5" ht="12.75">
      <c r="A74" s="9" t="s">
        <v>471</v>
      </c>
      <c r="B74" s="9" t="s">
        <v>235</v>
      </c>
      <c r="C74" s="87" t="s">
        <v>470</v>
      </c>
      <c r="D74" s="188">
        <v>9772</v>
      </c>
      <c r="E74" s="2"/>
    </row>
    <row r="75" spans="1:4" ht="12.75">
      <c r="A75" s="9" t="s">
        <v>347</v>
      </c>
      <c r="B75" s="9" t="s">
        <v>235</v>
      </c>
      <c r="C75" s="87" t="s">
        <v>349</v>
      </c>
      <c r="D75" s="188">
        <v>17276.7</v>
      </c>
    </row>
    <row r="76" spans="1:5" ht="12.75">
      <c r="A76" s="9" t="s">
        <v>304</v>
      </c>
      <c r="B76" s="9" t="s">
        <v>235</v>
      </c>
      <c r="C76" s="87">
        <v>82500274581</v>
      </c>
      <c r="D76" s="188">
        <v>311554.7</v>
      </c>
      <c r="E76" s="14" t="s">
        <v>316</v>
      </c>
    </row>
    <row r="77" spans="1:5" ht="12.75">
      <c r="A77" s="9" t="s">
        <v>306</v>
      </c>
      <c r="B77" s="9" t="s">
        <v>235</v>
      </c>
      <c r="C77" s="87" t="s">
        <v>305</v>
      </c>
      <c r="D77" s="188">
        <v>3170120.68</v>
      </c>
      <c r="E77" s="2"/>
    </row>
    <row r="78" spans="1:5" ht="12.75">
      <c r="A78" s="9" t="s">
        <v>197</v>
      </c>
      <c r="B78" s="9" t="s">
        <v>235</v>
      </c>
      <c r="C78" s="87" t="s">
        <v>134</v>
      </c>
      <c r="D78" s="188">
        <v>1227746.24</v>
      </c>
      <c r="E78" s="2"/>
    </row>
    <row r="79" spans="1:5" ht="12.75">
      <c r="A79" s="9" t="s">
        <v>360</v>
      </c>
      <c r="B79" s="9" t="s">
        <v>235</v>
      </c>
      <c r="C79" s="87" t="s">
        <v>361</v>
      </c>
      <c r="D79" s="188">
        <v>15195073.62</v>
      </c>
      <c r="E79" s="2"/>
    </row>
    <row r="80" spans="1:5" ht="12.75">
      <c r="A80" s="9" t="s">
        <v>358</v>
      </c>
      <c r="B80" s="9" t="s">
        <v>235</v>
      </c>
      <c r="C80" s="87" t="s">
        <v>362</v>
      </c>
      <c r="D80" s="188">
        <v>2501453.59</v>
      </c>
      <c r="E80" s="2"/>
    </row>
    <row r="81" spans="1:5" ht="12.75">
      <c r="A81" s="9" t="s">
        <v>388</v>
      </c>
      <c r="B81" s="9" t="s">
        <v>235</v>
      </c>
      <c r="C81" s="87" t="s">
        <v>389</v>
      </c>
      <c r="D81" s="188">
        <v>252888</v>
      </c>
      <c r="E81" s="2"/>
    </row>
    <row r="82" spans="1:5" ht="12.75">
      <c r="A82" s="2"/>
      <c r="B82" s="2"/>
      <c r="C82" s="2"/>
      <c r="D82" s="117"/>
      <c r="E82" s="2"/>
    </row>
    <row r="83" spans="1:5" ht="12.75">
      <c r="A83" s="10" t="s">
        <v>206</v>
      </c>
      <c r="B83" s="2"/>
      <c r="C83" s="4"/>
      <c r="D83" s="215">
        <f>SUM(D68:D82)</f>
        <v>47154321.61999999</v>
      </c>
      <c r="E83" s="2"/>
    </row>
    <row r="84" spans="1:5" ht="12.75">
      <c r="A84" s="6"/>
      <c r="B84" s="6"/>
      <c r="C84" s="87"/>
      <c r="D84" s="219"/>
      <c r="E84" s="2"/>
    </row>
    <row r="85" spans="1:5" ht="13.5" thickBot="1">
      <c r="A85" s="6" t="s">
        <v>136</v>
      </c>
      <c r="B85" s="9"/>
      <c r="C85" s="12" t="s">
        <v>137</v>
      </c>
      <c r="D85" s="203">
        <f>SUM(D34+D41+D83)</f>
        <v>180216225.27999997</v>
      </c>
      <c r="E85" s="2"/>
    </row>
    <row r="86" spans="1:5" ht="13.5" thickTop="1">
      <c r="A86" s="6"/>
      <c r="B86" s="9"/>
      <c r="C86" s="12"/>
      <c r="D86" s="38"/>
      <c r="E86" s="2"/>
    </row>
    <row r="87" spans="1:5" ht="12.75">
      <c r="A87" s="6"/>
      <c r="B87" s="9"/>
      <c r="C87" s="12"/>
      <c r="D87" s="38"/>
      <c r="E87" s="2"/>
    </row>
    <row r="88" spans="1:5" ht="12.75">
      <c r="A88" s="6"/>
      <c r="B88" s="9"/>
      <c r="C88" s="12"/>
      <c r="D88" s="38"/>
      <c r="E88" s="2"/>
    </row>
    <row r="89" spans="1:5" ht="12.75">
      <c r="A89" s="6"/>
      <c r="B89" s="9"/>
      <c r="C89" s="12"/>
      <c r="D89" s="38"/>
      <c r="E89" s="2"/>
    </row>
    <row r="90" spans="1:5" ht="12.75">
      <c r="A90" s="6"/>
      <c r="B90" s="9"/>
      <c r="C90" s="12"/>
      <c r="D90" s="38"/>
      <c r="E90" s="2"/>
    </row>
    <row r="91" spans="1:5" ht="12.75">
      <c r="A91" s="10" t="s">
        <v>29</v>
      </c>
      <c r="B91" s="9"/>
      <c r="C91" s="12"/>
      <c r="D91" s="38"/>
      <c r="E91" s="2"/>
    </row>
    <row r="92" ht="12.75">
      <c r="A92" s="2"/>
    </row>
    <row r="93" ht="12.75">
      <c r="A93" s="21" t="s">
        <v>365</v>
      </c>
    </row>
    <row r="94" ht="12.75">
      <c r="A94" s="21" t="s">
        <v>366</v>
      </c>
    </row>
    <row r="95" ht="12.75">
      <c r="A95" s="21" t="s">
        <v>520</v>
      </c>
    </row>
    <row r="96" ht="12.75">
      <c r="A96" s="63" t="s">
        <v>519</v>
      </c>
    </row>
    <row r="97" ht="12.75">
      <c r="A97" s="21" t="s">
        <v>516</v>
      </c>
    </row>
    <row r="98" ht="12.75">
      <c r="A98" s="21" t="s">
        <v>517</v>
      </c>
    </row>
    <row r="99" ht="12.75">
      <c r="A99" s="21" t="s">
        <v>518</v>
      </c>
    </row>
    <row r="100" ht="12.75">
      <c r="A100" s="21"/>
    </row>
  </sheetData>
  <mergeCells count="6">
    <mergeCell ref="A57:D57"/>
    <mergeCell ref="A58:D58"/>
    <mergeCell ref="A3:D3"/>
    <mergeCell ref="A4:D4"/>
    <mergeCell ref="A5:D5"/>
    <mergeCell ref="A56:D56"/>
  </mergeCell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F46" sqref="F46"/>
    </sheetView>
  </sheetViews>
  <sheetFormatPr defaultColWidth="9.140625" defaultRowHeight="12.75"/>
  <cols>
    <col min="1" max="1" width="42.57421875" style="0" customWidth="1"/>
    <col min="2" max="2" width="17.7109375" style="0" customWidth="1"/>
    <col min="3" max="3" width="12.7109375" style="0" customWidth="1"/>
    <col min="4" max="4" width="14.421875" style="0" customWidth="1"/>
    <col min="5" max="5" width="2.8515625" style="0" customWidth="1"/>
    <col min="6" max="16384" width="11.421875" style="0" customWidth="1"/>
  </cols>
  <sheetData>
    <row r="1" spans="1:5" ht="12.75">
      <c r="A1" s="2"/>
      <c r="B1" s="2"/>
      <c r="C1" s="4"/>
      <c r="D1" s="31" t="s">
        <v>18</v>
      </c>
      <c r="E1" s="2"/>
    </row>
    <row r="2" spans="1:5" ht="12.75">
      <c r="A2" s="2"/>
      <c r="B2" s="2"/>
      <c r="C2" s="4"/>
      <c r="D2" s="126" t="s">
        <v>435</v>
      </c>
      <c r="E2" s="2"/>
    </row>
    <row r="3" spans="1:5" ht="15">
      <c r="A3" s="245" t="s">
        <v>403</v>
      </c>
      <c r="B3" s="245"/>
      <c r="C3" s="245"/>
      <c r="D3" s="245"/>
      <c r="E3" s="2"/>
    </row>
    <row r="4" spans="1:5" ht="15">
      <c r="A4" s="245" t="s">
        <v>585</v>
      </c>
      <c r="B4" s="245"/>
      <c r="C4" s="245"/>
      <c r="D4" s="245"/>
      <c r="E4" s="2"/>
    </row>
    <row r="5" spans="1:5" ht="15">
      <c r="A5" s="245" t="s">
        <v>526</v>
      </c>
      <c r="B5" s="245"/>
      <c r="C5" s="245"/>
      <c r="D5" s="245"/>
      <c r="E5" s="2"/>
    </row>
    <row r="6" spans="1:5" ht="15">
      <c r="A6" s="105"/>
      <c r="B6" s="105"/>
      <c r="C6" s="105"/>
      <c r="D6" s="105"/>
      <c r="E6" s="2"/>
    </row>
    <row r="7" spans="1:5" ht="15">
      <c r="A7" s="105"/>
      <c r="B7" s="105"/>
      <c r="C7" s="105"/>
      <c r="D7" s="105"/>
      <c r="E7" s="2"/>
    </row>
    <row r="8" spans="1:5" ht="12.75">
      <c r="A8" s="19"/>
      <c r="B8" s="19"/>
      <c r="C8" s="111"/>
      <c r="D8" s="32"/>
      <c r="E8" s="2"/>
    </row>
    <row r="9" spans="1:5" ht="12.75">
      <c r="A9" s="19"/>
      <c r="B9" s="19"/>
      <c r="C9" s="3"/>
      <c r="D9" s="32"/>
      <c r="E9" s="2"/>
    </row>
    <row r="10" spans="1:5" ht="12.75">
      <c r="A10" s="98" t="s">
        <v>218</v>
      </c>
      <c r="B10" s="98" t="s">
        <v>157</v>
      </c>
      <c r="C10" s="98" t="s">
        <v>125</v>
      </c>
      <c r="D10" s="104" t="s">
        <v>20</v>
      </c>
      <c r="E10" s="2"/>
    </row>
    <row r="11" spans="1:5" ht="12.75">
      <c r="A11" s="3"/>
      <c r="B11" s="3"/>
      <c r="C11" s="3"/>
      <c r="D11" s="26"/>
      <c r="E11" s="2"/>
    </row>
    <row r="12" spans="1:5" ht="12.75">
      <c r="A12" s="3"/>
      <c r="B12" s="3"/>
      <c r="C12" s="3"/>
      <c r="D12" s="26"/>
      <c r="E12" s="2"/>
    </row>
    <row r="13" spans="1:5" ht="12.75">
      <c r="A13" s="86" t="s">
        <v>313</v>
      </c>
      <c r="B13" s="9"/>
      <c r="C13" s="87"/>
      <c r="D13" s="26"/>
      <c r="E13" s="2"/>
    </row>
    <row r="14" spans="1:5" ht="12.75">
      <c r="A14" s="61" t="s">
        <v>277</v>
      </c>
      <c r="B14" s="9"/>
      <c r="C14" s="87"/>
      <c r="D14" s="188">
        <v>103260</v>
      </c>
      <c r="E14" s="2"/>
    </row>
    <row r="15" spans="1:5" ht="12.75">
      <c r="A15" s="9" t="s">
        <v>194</v>
      </c>
      <c r="B15" s="9" t="s">
        <v>235</v>
      </c>
      <c r="C15" s="87">
        <v>65500611576</v>
      </c>
      <c r="D15" s="188">
        <v>-51130</v>
      </c>
      <c r="E15" s="14" t="s">
        <v>23</v>
      </c>
    </row>
    <row r="16" spans="1:5" ht="12.75">
      <c r="A16" s="9" t="s">
        <v>195</v>
      </c>
      <c r="B16" s="9" t="s">
        <v>235</v>
      </c>
      <c r="C16" s="87">
        <v>65501323444</v>
      </c>
      <c r="D16" s="188">
        <v>747362.35</v>
      </c>
      <c r="E16" s="14"/>
    </row>
    <row r="17" spans="1:5" ht="12.75">
      <c r="A17" s="9" t="s">
        <v>127</v>
      </c>
      <c r="B17" s="9" t="s">
        <v>235</v>
      </c>
      <c r="C17" s="87">
        <v>65500611562</v>
      </c>
      <c r="D17" s="188">
        <v>218430.83</v>
      </c>
      <c r="E17" s="14" t="s">
        <v>24</v>
      </c>
    </row>
    <row r="18" spans="1:5" ht="12.75">
      <c r="A18" s="9" t="s">
        <v>270</v>
      </c>
      <c r="B18" s="9" t="s">
        <v>235</v>
      </c>
      <c r="C18" s="87">
        <v>65501752447</v>
      </c>
      <c r="D18" s="188">
        <v>10311.31</v>
      </c>
      <c r="E18" s="2"/>
    </row>
    <row r="19" spans="1:4" ht="12.75">
      <c r="A19" s="8" t="s">
        <v>241</v>
      </c>
      <c r="B19" s="9" t="s">
        <v>235</v>
      </c>
      <c r="C19" s="87">
        <v>65501752416</v>
      </c>
      <c r="D19" s="188">
        <v>9040122.46</v>
      </c>
    </row>
    <row r="20" spans="1:4" ht="12.75">
      <c r="A20" s="8" t="s">
        <v>194</v>
      </c>
      <c r="B20" s="9" t="s">
        <v>235</v>
      </c>
      <c r="C20" s="87">
        <v>65501752433</v>
      </c>
      <c r="D20" s="188">
        <v>4075907.47</v>
      </c>
    </row>
    <row r="21" spans="1:4" ht="12.75">
      <c r="A21" s="9" t="s">
        <v>271</v>
      </c>
      <c r="B21" s="9" t="s">
        <v>235</v>
      </c>
      <c r="C21" s="87">
        <v>65501761036</v>
      </c>
      <c r="D21" s="188">
        <v>1905591.68</v>
      </c>
    </row>
    <row r="22" spans="1:5" ht="12.75">
      <c r="A22" s="9" t="s">
        <v>346</v>
      </c>
      <c r="B22" s="9" t="s">
        <v>235</v>
      </c>
      <c r="C22" s="87">
        <v>65501790364</v>
      </c>
      <c r="D22" s="188">
        <v>730322.95</v>
      </c>
      <c r="E22" s="2"/>
    </row>
    <row r="23" spans="1:5" ht="12.75">
      <c r="A23" s="8" t="s">
        <v>200</v>
      </c>
      <c r="B23" s="9" t="s">
        <v>236</v>
      </c>
      <c r="C23" s="87" t="s">
        <v>130</v>
      </c>
      <c r="D23" s="188">
        <v>291767.65</v>
      </c>
      <c r="E23" s="2"/>
    </row>
    <row r="24" spans="1:5" ht="12.75">
      <c r="A24" s="8" t="s">
        <v>348</v>
      </c>
      <c r="B24" s="9" t="s">
        <v>237</v>
      </c>
      <c r="C24" s="87">
        <v>4031053267</v>
      </c>
      <c r="D24" s="188">
        <v>9993.11</v>
      </c>
      <c r="E24" s="2"/>
    </row>
    <row r="25" spans="1:5" ht="12.75">
      <c r="A25" s="8" t="s">
        <v>194</v>
      </c>
      <c r="B25" s="9" t="s">
        <v>235</v>
      </c>
      <c r="C25" s="87">
        <v>51908075257</v>
      </c>
      <c r="D25" s="188">
        <v>-2926.34</v>
      </c>
      <c r="E25" s="14" t="s">
        <v>24</v>
      </c>
    </row>
    <row r="26" spans="1:5" ht="12.75">
      <c r="A26" s="8" t="s">
        <v>194</v>
      </c>
      <c r="B26" s="9" t="s">
        <v>144</v>
      </c>
      <c r="C26" s="88" t="s">
        <v>174</v>
      </c>
      <c r="D26" s="188">
        <v>-134767</v>
      </c>
      <c r="E26" s="14" t="s">
        <v>23</v>
      </c>
    </row>
    <row r="27" spans="1:5" ht="12.75">
      <c r="A27" s="8" t="s">
        <v>242</v>
      </c>
      <c r="B27" s="9" t="s">
        <v>144</v>
      </c>
      <c r="C27" s="88" t="s">
        <v>385</v>
      </c>
      <c r="D27" s="188">
        <v>1960</v>
      </c>
      <c r="E27" s="14"/>
    </row>
    <row r="28" spans="1:5" ht="12.75">
      <c r="A28" s="8" t="s">
        <v>242</v>
      </c>
      <c r="B28" s="9" t="s">
        <v>144</v>
      </c>
      <c r="C28" s="88" t="s">
        <v>244</v>
      </c>
      <c r="D28" s="188">
        <v>10788171.94</v>
      </c>
      <c r="E28" s="2"/>
    </row>
    <row r="29" spans="1:5" ht="12.75">
      <c r="A29" s="8" t="s">
        <v>242</v>
      </c>
      <c r="B29" s="9" t="s">
        <v>144</v>
      </c>
      <c r="C29" s="88" t="s">
        <v>269</v>
      </c>
      <c r="D29" s="188">
        <v>5360404.88</v>
      </c>
      <c r="E29" s="14"/>
    </row>
    <row r="30" spans="1:5" ht="12.75">
      <c r="A30" s="8" t="s">
        <v>241</v>
      </c>
      <c r="B30" s="9" t="s">
        <v>144</v>
      </c>
      <c r="C30" s="88" t="s">
        <v>303</v>
      </c>
      <c r="D30" s="188">
        <v>-56850650.4</v>
      </c>
      <c r="E30" s="14" t="s">
        <v>27</v>
      </c>
    </row>
    <row r="31" spans="1:5" ht="12.75">
      <c r="A31" s="8" t="s">
        <v>364</v>
      </c>
      <c r="B31" s="9" t="s">
        <v>235</v>
      </c>
      <c r="C31" s="87">
        <v>65501896472</v>
      </c>
      <c r="D31" s="188">
        <v>139257.71</v>
      </c>
      <c r="E31" s="2"/>
    </row>
    <row r="32" spans="1:5" ht="12.75">
      <c r="A32" s="9" t="s">
        <v>372</v>
      </c>
      <c r="B32" s="9" t="s">
        <v>235</v>
      </c>
      <c r="C32" s="87">
        <v>65501928095</v>
      </c>
      <c r="D32" s="188">
        <v>109201815.58</v>
      </c>
      <c r="E32" s="2"/>
    </row>
    <row r="33" spans="1:5" ht="12.75">
      <c r="A33" s="2"/>
      <c r="B33" s="2"/>
      <c r="C33" s="4"/>
      <c r="D33" s="117"/>
      <c r="E33" s="2"/>
    </row>
    <row r="34" spans="1:5" ht="12.75">
      <c r="A34" s="6" t="s">
        <v>175</v>
      </c>
      <c r="B34" s="2"/>
      <c r="C34" s="4"/>
      <c r="D34" s="191">
        <f>SUM(D14:D33)</f>
        <v>85585206.17999999</v>
      </c>
      <c r="E34" s="2"/>
    </row>
    <row r="35" spans="1:5" ht="12.75">
      <c r="A35" s="2"/>
      <c r="B35" s="2"/>
      <c r="C35" s="4"/>
      <c r="D35" s="117"/>
      <c r="E35" s="2"/>
    </row>
    <row r="36" spans="1:5" ht="12.75">
      <c r="A36" s="10" t="s">
        <v>217</v>
      </c>
      <c r="B36" s="2"/>
      <c r="C36" s="4"/>
      <c r="D36" s="117"/>
      <c r="E36" s="2"/>
    </row>
    <row r="37" spans="1:5" ht="12.75">
      <c r="A37" s="2"/>
      <c r="B37" s="2"/>
      <c r="C37" s="4"/>
      <c r="D37" s="117"/>
      <c r="E37" s="2"/>
    </row>
    <row r="38" spans="1:5" ht="12.75">
      <c r="A38" s="9" t="s">
        <v>201</v>
      </c>
      <c r="B38" s="9" t="s">
        <v>235</v>
      </c>
      <c r="C38" s="88" t="s">
        <v>317</v>
      </c>
      <c r="D38" s="188">
        <v>40.29</v>
      </c>
      <c r="E38" s="2"/>
    </row>
    <row r="39" spans="1:5" ht="12.75">
      <c r="A39" s="9" t="s">
        <v>514</v>
      </c>
      <c r="B39" s="9" t="s">
        <v>513</v>
      </c>
      <c r="C39" s="88" t="s">
        <v>515</v>
      </c>
      <c r="D39" s="188">
        <v>524819.93</v>
      </c>
      <c r="E39" s="2"/>
    </row>
    <row r="40" spans="1:5" ht="12.75">
      <c r="A40" s="2"/>
      <c r="B40" s="2"/>
      <c r="C40" s="4"/>
      <c r="D40" s="117"/>
      <c r="E40" s="2"/>
    </row>
    <row r="41" spans="1:5" ht="12.75">
      <c r="A41" s="6" t="s">
        <v>203</v>
      </c>
      <c r="B41" s="2"/>
      <c r="C41" s="4"/>
      <c r="D41" s="215">
        <f>SUM(D38:D40)</f>
        <v>524860.2200000001</v>
      </c>
      <c r="E41" s="2"/>
    </row>
    <row r="42" spans="1:5" ht="12.75">
      <c r="A42" s="6"/>
      <c r="B42" s="2"/>
      <c r="C42" s="4"/>
      <c r="D42" s="187"/>
      <c r="E42" s="2"/>
    </row>
    <row r="43" spans="1:5" ht="12.75">
      <c r="A43" s="6"/>
      <c r="B43" s="2"/>
      <c r="C43" s="4"/>
      <c r="D43" s="187"/>
      <c r="E43" s="2"/>
    </row>
    <row r="44" spans="1:5" ht="12.75">
      <c r="A44" s="6"/>
      <c r="B44" s="2"/>
      <c r="C44" s="4"/>
      <c r="D44" s="187"/>
      <c r="E44" s="2"/>
    </row>
    <row r="45" spans="1:5" ht="12.75">
      <c r="A45" s="6"/>
      <c r="B45" s="2"/>
      <c r="C45" s="4"/>
      <c r="D45" s="187"/>
      <c r="E45" s="2"/>
    </row>
    <row r="46" spans="1:5" ht="12.75">
      <c r="A46" s="6"/>
      <c r="B46" s="2"/>
      <c r="C46" s="4"/>
      <c r="D46" s="187"/>
      <c r="E46" s="2"/>
    </row>
    <row r="47" spans="1:5" ht="12.75">
      <c r="A47" s="6"/>
      <c r="B47" s="2"/>
      <c r="C47" s="4"/>
      <c r="D47" s="187"/>
      <c r="E47" s="2"/>
    </row>
    <row r="48" spans="1:5" ht="12.75">
      <c r="A48" s="6"/>
      <c r="B48" s="2"/>
      <c r="C48" s="4"/>
      <c r="D48" s="187"/>
      <c r="E48" s="2"/>
    </row>
    <row r="49" spans="1:5" ht="12.75">
      <c r="A49" s="6"/>
      <c r="B49" s="2"/>
      <c r="C49" s="4"/>
      <c r="D49" s="187"/>
      <c r="E49" s="2"/>
    </row>
    <row r="50" spans="1:5" ht="12.75">
      <c r="A50" s="6"/>
      <c r="B50" s="2"/>
      <c r="C50" s="4"/>
      <c r="D50" s="187"/>
      <c r="E50" s="2"/>
    </row>
    <row r="51" spans="1:5" ht="12.75">
      <c r="A51" s="6"/>
      <c r="B51" s="2"/>
      <c r="C51" s="4"/>
      <c r="D51" s="187"/>
      <c r="E51" s="2"/>
    </row>
    <row r="52" spans="1:5" ht="12.75">
      <c r="A52" s="6"/>
      <c r="B52" s="2"/>
      <c r="C52" s="4"/>
      <c r="D52" s="187"/>
      <c r="E52" s="2"/>
    </row>
    <row r="53" spans="1:5" ht="12.75">
      <c r="A53" s="2"/>
      <c r="B53" s="2"/>
      <c r="C53" s="4"/>
      <c r="D53" s="31" t="s">
        <v>18</v>
      </c>
      <c r="E53" s="2"/>
    </row>
    <row r="54" spans="1:5" ht="12.75">
      <c r="A54" s="2"/>
      <c r="B54" s="2"/>
      <c r="C54" s="4"/>
      <c r="D54" s="126" t="s">
        <v>436</v>
      </c>
      <c r="E54" s="2"/>
    </row>
    <row r="55" spans="1:5" ht="15">
      <c r="A55" s="245" t="s">
        <v>403</v>
      </c>
      <c r="B55" s="245"/>
      <c r="C55" s="245"/>
      <c r="D55" s="245"/>
      <c r="E55" s="2"/>
    </row>
    <row r="56" spans="1:5" ht="15">
      <c r="A56" s="245" t="s">
        <v>585</v>
      </c>
      <c r="B56" s="245"/>
      <c r="C56" s="245"/>
      <c r="D56" s="245"/>
      <c r="E56" s="2"/>
    </row>
    <row r="57" spans="1:5" ht="15">
      <c r="A57" s="245" t="s">
        <v>526</v>
      </c>
      <c r="B57" s="245"/>
      <c r="C57" s="245"/>
      <c r="D57" s="245"/>
      <c r="E57" s="2"/>
    </row>
    <row r="58" spans="1:5" ht="15">
      <c r="A58" s="105"/>
      <c r="B58" s="105"/>
      <c r="C58" s="105"/>
      <c r="D58" s="105"/>
      <c r="E58" s="2"/>
    </row>
    <row r="59" spans="1:5" ht="15">
      <c r="A59" s="105"/>
      <c r="B59" s="105"/>
      <c r="C59" s="105"/>
      <c r="D59" s="105"/>
      <c r="E59" s="2"/>
    </row>
    <row r="60" spans="1:5" ht="12.75">
      <c r="A60" s="19"/>
      <c r="B60" s="19"/>
      <c r="C60" s="111"/>
      <c r="D60" s="32"/>
      <c r="E60" s="2"/>
    </row>
    <row r="61" spans="1:5" ht="12.75">
      <c r="A61" s="19"/>
      <c r="B61" s="19"/>
      <c r="C61" s="3"/>
      <c r="D61" s="32"/>
      <c r="E61" s="2"/>
    </row>
    <row r="62" spans="1:5" ht="12.75">
      <c r="A62" s="98" t="s">
        <v>218</v>
      </c>
      <c r="B62" s="98" t="s">
        <v>157</v>
      </c>
      <c r="C62" s="98" t="s">
        <v>125</v>
      </c>
      <c r="D62" s="104" t="s">
        <v>20</v>
      </c>
      <c r="E62" s="2"/>
    </row>
    <row r="63" spans="1:5" ht="12.75">
      <c r="A63" s="3"/>
      <c r="B63" s="3"/>
      <c r="C63" s="3"/>
      <c r="D63" s="26"/>
      <c r="E63" s="2"/>
    </row>
    <row r="64" spans="1:5" ht="12.75">
      <c r="A64" s="3"/>
      <c r="B64" s="3"/>
      <c r="C64" s="3"/>
      <c r="D64" s="26"/>
      <c r="E64" s="2"/>
    </row>
    <row r="65" spans="1:5" ht="12.75">
      <c r="A65" s="10" t="s">
        <v>204</v>
      </c>
      <c r="B65" s="2"/>
      <c r="C65" s="4"/>
      <c r="D65" s="25"/>
      <c r="E65" s="2"/>
    </row>
    <row r="66" spans="1:4" ht="12.75">
      <c r="A66" s="2"/>
      <c r="B66" s="2"/>
      <c r="C66" s="4"/>
      <c r="D66" s="25"/>
    </row>
    <row r="67" spans="1:5" ht="12.75">
      <c r="A67" s="8" t="s">
        <v>202</v>
      </c>
      <c r="B67" s="9" t="s">
        <v>235</v>
      </c>
      <c r="C67" s="87" t="s">
        <v>128</v>
      </c>
      <c r="D67" s="188">
        <v>15805.32</v>
      </c>
      <c r="E67" s="14" t="s">
        <v>314</v>
      </c>
    </row>
    <row r="68" spans="1:5" ht="12.75">
      <c r="A68" s="8" t="s">
        <v>205</v>
      </c>
      <c r="B68" s="9" t="s">
        <v>235</v>
      </c>
      <c r="C68" s="87" t="s">
        <v>129</v>
      </c>
      <c r="D68" s="188">
        <v>747669.5</v>
      </c>
      <c r="E68" s="14" t="s">
        <v>315</v>
      </c>
    </row>
    <row r="69" spans="1:5" ht="12.75">
      <c r="A69" s="9" t="s">
        <v>132</v>
      </c>
      <c r="B69" s="9" t="s">
        <v>235</v>
      </c>
      <c r="C69" s="87" t="s">
        <v>133</v>
      </c>
      <c r="D69" s="188">
        <v>23933126.69</v>
      </c>
      <c r="E69" s="2"/>
    </row>
    <row r="70" spans="1:5" ht="12.75">
      <c r="A70" s="9" t="s">
        <v>94</v>
      </c>
      <c r="B70" s="9" t="s">
        <v>238</v>
      </c>
      <c r="C70" s="87" t="s">
        <v>131</v>
      </c>
      <c r="D70" s="188">
        <v>2067.5</v>
      </c>
      <c r="E70" s="2"/>
    </row>
    <row r="71" spans="1:5" ht="12.75">
      <c r="A71" s="9" t="s">
        <v>196</v>
      </c>
      <c r="B71" s="9" t="s">
        <v>239</v>
      </c>
      <c r="C71" s="87" t="s">
        <v>135</v>
      </c>
      <c r="D71" s="188">
        <v>2233077.26</v>
      </c>
      <c r="E71" s="2"/>
    </row>
    <row r="72" spans="1:5" ht="12.75">
      <c r="A72" s="9" t="s">
        <v>146</v>
      </c>
      <c r="B72" s="9" t="s">
        <v>235</v>
      </c>
      <c r="C72" s="87" t="s">
        <v>145</v>
      </c>
      <c r="D72" s="188">
        <v>1280566.68</v>
      </c>
      <c r="E72" s="2"/>
    </row>
    <row r="73" spans="1:5" ht="12.75">
      <c r="A73" s="9" t="s">
        <v>471</v>
      </c>
      <c r="B73" s="9" t="s">
        <v>235</v>
      </c>
      <c r="C73" s="87" t="s">
        <v>470</v>
      </c>
      <c r="D73" s="188">
        <v>9772</v>
      </c>
      <c r="E73" s="2"/>
    </row>
    <row r="74" spans="1:4" ht="12.75">
      <c r="A74" s="9" t="s">
        <v>347</v>
      </c>
      <c r="B74" s="9" t="s">
        <v>235</v>
      </c>
      <c r="C74" s="87" t="s">
        <v>349</v>
      </c>
      <c r="D74" s="188">
        <v>16251.67</v>
      </c>
    </row>
    <row r="75" spans="1:5" ht="12.75">
      <c r="A75" s="9" t="s">
        <v>304</v>
      </c>
      <c r="B75" s="9" t="s">
        <v>235</v>
      </c>
      <c r="C75" s="87">
        <v>82500274581</v>
      </c>
      <c r="D75" s="188">
        <v>311949.85</v>
      </c>
      <c r="E75" s="14" t="s">
        <v>316</v>
      </c>
    </row>
    <row r="76" spans="1:5" ht="12.75">
      <c r="A76" s="9" t="s">
        <v>306</v>
      </c>
      <c r="B76" s="9" t="s">
        <v>235</v>
      </c>
      <c r="C76" s="87" t="s">
        <v>305</v>
      </c>
      <c r="D76" s="188">
        <v>3038887.3</v>
      </c>
      <c r="E76" s="2"/>
    </row>
    <row r="77" spans="1:5" ht="12.75">
      <c r="A77" s="9" t="s">
        <v>197</v>
      </c>
      <c r="B77" s="9" t="s">
        <v>235</v>
      </c>
      <c r="C77" s="87" t="s">
        <v>134</v>
      </c>
      <c r="D77" s="188">
        <v>1234681.7</v>
      </c>
      <c r="E77" s="2"/>
    </row>
    <row r="78" spans="1:5" ht="12.75">
      <c r="A78" s="9" t="s">
        <v>360</v>
      </c>
      <c r="B78" s="9" t="s">
        <v>235</v>
      </c>
      <c r="C78" s="87" t="s">
        <v>361</v>
      </c>
      <c r="D78" s="188">
        <v>14985723.77</v>
      </c>
      <c r="E78" s="2"/>
    </row>
    <row r="79" spans="1:5" ht="12.75">
      <c r="A79" s="9" t="s">
        <v>358</v>
      </c>
      <c r="B79" s="9" t="s">
        <v>235</v>
      </c>
      <c r="C79" s="87" t="s">
        <v>362</v>
      </c>
      <c r="D79" s="188">
        <v>2516299.37</v>
      </c>
      <c r="E79" s="2"/>
    </row>
    <row r="80" spans="1:5" ht="12.75">
      <c r="A80" s="9" t="s">
        <v>388</v>
      </c>
      <c r="B80" s="9" t="s">
        <v>235</v>
      </c>
      <c r="C80" s="87" t="s">
        <v>389</v>
      </c>
      <c r="D80" s="188">
        <v>253368.24</v>
      </c>
      <c r="E80" s="2"/>
    </row>
    <row r="81" spans="1:5" ht="12.75">
      <c r="A81" s="9" t="s">
        <v>528</v>
      </c>
      <c r="B81" s="9" t="s">
        <v>235</v>
      </c>
      <c r="C81" s="87" t="s">
        <v>529</v>
      </c>
      <c r="D81" s="188">
        <v>263544.34</v>
      </c>
      <c r="E81" s="2"/>
    </row>
    <row r="82" spans="1:5" ht="12.75">
      <c r="A82" s="2"/>
      <c r="B82" s="2"/>
      <c r="C82" s="2"/>
      <c r="D82" s="117"/>
      <c r="E82" s="2"/>
    </row>
    <row r="83" spans="1:5" ht="12.75">
      <c r="A83" s="10" t="s">
        <v>206</v>
      </c>
      <c r="B83" s="2"/>
      <c r="C83" s="4"/>
      <c r="D83" s="215">
        <f>SUM(D67:D82)</f>
        <v>50842791.19000001</v>
      </c>
      <c r="E83" s="2"/>
    </row>
    <row r="84" spans="1:5" ht="12.75">
      <c r="A84" s="6"/>
      <c r="B84" s="6"/>
      <c r="C84" s="87"/>
      <c r="D84" s="219"/>
      <c r="E84" s="2"/>
    </row>
    <row r="85" spans="1:5" ht="13.5" thickBot="1">
      <c r="A85" s="6" t="s">
        <v>136</v>
      </c>
      <c r="B85" s="9"/>
      <c r="C85" s="12" t="s">
        <v>137</v>
      </c>
      <c r="D85" s="203">
        <f>SUM(D34+D41+D83)</f>
        <v>136952857.59</v>
      </c>
      <c r="E85" s="2"/>
    </row>
    <row r="86" spans="1:5" ht="13.5" thickTop="1">
      <c r="A86" s="6"/>
      <c r="B86" s="9"/>
      <c r="C86" s="12"/>
      <c r="D86" s="38"/>
      <c r="E86" s="2"/>
    </row>
    <row r="87" spans="1:5" ht="12.75">
      <c r="A87" s="6"/>
      <c r="B87" s="9"/>
      <c r="C87" s="12"/>
      <c r="D87" s="38"/>
      <c r="E87" s="2"/>
    </row>
    <row r="88" spans="1:5" ht="12.75">
      <c r="A88" s="6"/>
      <c r="B88" s="9"/>
      <c r="C88" s="12"/>
      <c r="D88" s="38"/>
      <c r="E88" s="2"/>
    </row>
    <row r="89" spans="1:5" ht="12.75">
      <c r="A89" s="6"/>
      <c r="B89" s="9"/>
      <c r="C89" s="12"/>
      <c r="D89" s="38"/>
      <c r="E89" s="2"/>
    </row>
    <row r="90" spans="1:5" ht="12.75">
      <c r="A90" s="6"/>
      <c r="B90" s="9"/>
      <c r="C90" s="12"/>
      <c r="D90" s="38"/>
      <c r="E90" s="2"/>
    </row>
    <row r="91" spans="1:5" ht="12.75">
      <c r="A91" s="10" t="s">
        <v>29</v>
      </c>
      <c r="B91" s="9"/>
      <c r="C91" s="12"/>
      <c r="D91" s="38"/>
      <c r="E91" s="2"/>
    </row>
    <row r="92" ht="12.75">
      <c r="A92" s="2"/>
    </row>
    <row r="93" ht="12.75">
      <c r="A93" s="21" t="s">
        <v>365</v>
      </c>
    </row>
    <row r="94" ht="12.75">
      <c r="A94" s="21" t="s">
        <v>366</v>
      </c>
    </row>
    <row r="95" ht="12.75">
      <c r="A95" s="21" t="s">
        <v>527</v>
      </c>
    </row>
    <row r="96" ht="12.75">
      <c r="A96" s="63" t="s">
        <v>519</v>
      </c>
    </row>
    <row r="97" ht="12.75">
      <c r="A97" s="21" t="s">
        <v>562</v>
      </c>
    </row>
    <row r="98" ht="12.75">
      <c r="A98" s="21" t="s">
        <v>561</v>
      </c>
    </row>
    <row r="99" ht="12.75">
      <c r="A99" s="21" t="s">
        <v>560</v>
      </c>
    </row>
    <row r="100" ht="12.75">
      <c r="A100" s="21"/>
    </row>
  </sheetData>
  <mergeCells count="6">
    <mergeCell ref="A56:D56"/>
    <mergeCell ref="A57:D57"/>
    <mergeCell ref="A3:D3"/>
    <mergeCell ref="A4:D4"/>
    <mergeCell ref="A5:D5"/>
    <mergeCell ref="A55:D55"/>
  </mergeCell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22">
      <selection activeCell="B45" sqref="B45"/>
    </sheetView>
  </sheetViews>
  <sheetFormatPr defaultColWidth="9.140625" defaultRowHeight="12.75"/>
  <cols>
    <col min="1" max="1" width="42.140625" style="0" customWidth="1"/>
    <col min="2" max="2" width="16.7109375" style="0" bestFit="1" customWidth="1"/>
    <col min="3" max="4" width="11.421875" style="0" customWidth="1"/>
    <col min="5" max="5" width="2.28125" style="0" customWidth="1"/>
    <col min="6" max="16384" width="11.421875" style="0" customWidth="1"/>
  </cols>
  <sheetData>
    <row r="1" spans="1:5" ht="12.75">
      <c r="A1" s="2"/>
      <c r="B1" s="2"/>
      <c r="C1" s="4"/>
      <c r="D1" s="31" t="s">
        <v>18</v>
      </c>
      <c r="E1" s="2"/>
    </row>
    <row r="2" spans="1:5" ht="12.75">
      <c r="A2" s="2"/>
      <c r="B2" s="2"/>
      <c r="C2" s="4"/>
      <c r="D2" s="126" t="s">
        <v>435</v>
      </c>
      <c r="E2" s="2"/>
    </row>
    <row r="3" spans="1:5" ht="15">
      <c r="A3" s="245" t="s">
        <v>403</v>
      </c>
      <c r="B3" s="245"/>
      <c r="C3" s="245"/>
      <c r="D3" s="245"/>
      <c r="E3" s="2"/>
    </row>
    <row r="4" spans="1:5" ht="15">
      <c r="A4" s="245" t="s">
        <v>585</v>
      </c>
      <c r="B4" s="245"/>
      <c r="C4" s="245"/>
      <c r="D4" s="245"/>
      <c r="E4" s="2"/>
    </row>
    <row r="5" spans="1:5" ht="15">
      <c r="A5" s="245" t="s">
        <v>567</v>
      </c>
      <c r="B5" s="245"/>
      <c r="C5" s="245"/>
      <c r="D5" s="245"/>
      <c r="E5" s="2"/>
    </row>
    <row r="6" spans="1:5" ht="15">
      <c r="A6" s="105"/>
      <c r="B6" s="105"/>
      <c r="C6" s="105"/>
      <c r="D6" s="105"/>
      <c r="E6" s="2"/>
    </row>
    <row r="7" spans="1:5" ht="15">
      <c r="A7" s="105"/>
      <c r="B7" s="105"/>
      <c r="C7" s="105"/>
      <c r="D7" s="105"/>
      <c r="E7" s="2"/>
    </row>
    <row r="8" spans="1:5" ht="12.75">
      <c r="A8" s="19"/>
      <c r="B8" s="19"/>
      <c r="C8" s="111"/>
      <c r="D8" s="32"/>
      <c r="E8" s="2"/>
    </row>
    <row r="9" spans="1:5" ht="12.75">
      <c r="A9" s="19"/>
      <c r="B9" s="19"/>
      <c r="C9" s="3"/>
      <c r="D9" s="32"/>
      <c r="E9" s="2"/>
    </row>
    <row r="10" spans="1:5" ht="12.75">
      <c r="A10" s="98" t="s">
        <v>218</v>
      </c>
      <c r="B10" s="98" t="s">
        <v>157</v>
      </c>
      <c r="C10" s="98" t="s">
        <v>125</v>
      </c>
      <c r="D10" s="104" t="s">
        <v>20</v>
      </c>
      <c r="E10" s="2"/>
    </row>
    <row r="11" spans="1:5" ht="12.75">
      <c r="A11" s="3"/>
      <c r="B11" s="3"/>
      <c r="C11" s="3"/>
      <c r="D11" s="26"/>
      <c r="E11" s="2"/>
    </row>
    <row r="12" spans="1:5" ht="12.75">
      <c r="A12" s="3"/>
      <c r="B12" s="3"/>
      <c r="C12" s="3"/>
      <c r="D12" s="26"/>
      <c r="E12" s="2"/>
    </row>
    <row r="13" spans="1:5" ht="12.75">
      <c r="A13" s="86" t="s">
        <v>313</v>
      </c>
      <c r="B13" s="9"/>
      <c r="C13" s="87"/>
      <c r="D13" s="26"/>
      <c r="E13" s="2"/>
    </row>
    <row r="14" spans="1:5" ht="12.75">
      <c r="A14" s="61" t="s">
        <v>277</v>
      </c>
      <c r="B14" s="9"/>
      <c r="C14" s="87"/>
      <c r="D14" s="188">
        <v>303274</v>
      </c>
      <c r="E14" s="2"/>
    </row>
    <row r="15" spans="1:5" ht="12.75">
      <c r="A15" s="9" t="s">
        <v>194</v>
      </c>
      <c r="B15" s="9" t="s">
        <v>235</v>
      </c>
      <c r="C15" s="87">
        <v>65500611576</v>
      </c>
      <c r="D15" s="188">
        <v>-51130</v>
      </c>
      <c r="E15" s="14" t="s">
        <v>23</v>
      </c>
    </row>
    <row r="16" spans="1:5" ht="12.75">
      <c r="A16" s="9" t="s">
        <v>195</v>
      </c>
      <c r="B16" s="9" t="s">
        <v>235</v>
      </c>
      <c r="C16" s="87">
        <v>65501323444</v>
      </c>
      <c r="D16" s="188">
        <v>747327.85</v>
      </c>
      <c r="E16" s="14"/>
    </row>
    <row r="17" spans="1:5" ht="12.75">
      <c r="A17" s="9" t="s">
        <v>127</v>
      </c>
      <c r="B17" s="9" t="s">
        <v>235</v>
      </c>
      <c r="C17" s="87">
        <v>65500611562</v>
      </c>
      <c r="D17" s="188">
        <v>218430.83</v>
      </c>
      <c r="E17" s="14" t="s">
        <v>24</v>
      </c>
    </row>
    <row r="18" spans="1:5" ht="12.75">
      <c r="A18" s="9" t="s">
        <v>270</v>
      </c>
      <c r="B18" s="9" t="s">
        <v>235</v>
      </c>
      <c r="C18" s="87">
        <v>65501752447</v>
      </c>
      <c r="D18" s="188">
        <v>10242.31</v>
      </c>
      <c r="E18" s="2"/>
    </row>
    <row r="19" spans="1:4" ht="12.75">
      <c r="A19" s="8" t="s">
        <v>241</v>
      </c>
      <c r="B19" s="9" t="s">
        <v>235</v>
      </c>
      <c r="C19" s="87">
        <v>65501752416</v>
      </c>
      <c r="D19" s="188">
        <v>6171475.27</v>
      </c>
    </row>
    <row r="20" spans="1:5" ht="12.75">
      <c r="A20" s="8" t="s">
        <v>194</v>
      </c>
      <c r="B20" s="9" t="s">
        <v>235</v>
      </c>
      <c r="C20" s="87">
        <v>65501752433</v>
      </c>
      <c r="D20" s="188">
        <v>-4281805.19</v>
      </c>
      <c r="E20" s="14" t="s">
        <v>27</v>
      </c>
    </row>
    <row r="21" spans="1:4" ht="12.75">
      <c r="A21" s="9" t="s">
        <v>271</v>
      </c>
      <c r="B21" s="9" t="s">
        <v>235</v>
      </c>
      <c r="C21" s="87">
        <v>65501761036</v>
      </c>
      <c r="D21" s="188">
        <v>2737043.18</v>
      </c>
    </row>
    <row r="22" spans="1:5" ht="12.75">
      <c r="A22" s="9" t="s">
        <v>346</v>
      </c>
      <c r="B22" s="9" t="s">
        <v>235</v>
      </c>
      <c r="C22" s="87">
        <v>65501790364</v>
      </c>
      <c r="D22" s="188">
        <v>730288.45</v>
      </c>
      <c r="E22" s="2"/>
    </row>
    <row r="23" spans="1:5" ht="12.75">
      <c r="A23" s="8" t="s">
        <v>200</v>
      </c>
      <c r="B23" s="9" t="s">
        <v>236</v>
      </c>
      <c r="C23" s="87" t="s">
        <v>130</v>
      </c>
      <c r="D23" s="188">
        <v>291767.65</v>
      </c>
      <c r="E23" s="2"/>
    </row>
    <row r="24" spans="1:5" ht="12.75">
      <c r="A24" s="8" t="s">
        <v>348</v>
      </c>
      <c r="B24" s="9" t="s">
        <v>237</v>
      </c>
      <c r="C24" s="87">
        <v>4031053267</v>
      </c>
      <c r="D24" s="188">
        <v>9993.11</v>
      </c>
      <c r="E24" s="2"/>
    </row>
    <row r="25" spans="1:5" ht="12.75">
      <c r="A25" s="8" t="s">
        <v>194</v>
      </c>
      <c r="B25" s="9" t="s">
        <v>235</v>
      </c>
      <c r="C25" s="87">
        <v>51908075257</v>
      </c>
      <c r="D25" s="188">
        <v>-2926.34</v>
      </c>
      <c r="E25" s="14" t="s">
        <v>24</v>
      </c>
    </row>
    <row r="26" spans="1:5" ht="12.75">
      <c r="A26" s="8" t="s">
        <v>194</v>
      </c>
      <c r="B26" s="9" t="s">
        <v>144</v>
      </c>
      <c r="C26" s="88" t="s">
        <v>174</v>
      </c>
      <c r="D26" s="188">
        <v>-134767</v>
      </c>
      <c r="E26" s="14" t="s">
        <v>23</v>
      </c>
    </row>
    <row r="27" spans="1:5" ht="12.75">
      <c r="A27" s="8" t="s">
        <v>242</v>
      </c>
      <c r="B27" s="9" t="s">
        <v>144</v>
      </c>
      <c r="C27" s="88" t="s">
        <v>385</v>
      </c>
      <c r="D27" s="188">
        <v>1960</v>
      </c>
      <c r="E27" s="14"/>
    </row>
    <row r="28" spans="1:5" ht="12.75">
      <c r="A28" s="8" t="s">
        <v>242</v>
      </c>
      <c r="B28" s="9" t="s">
        <v>144</v>
      </c>
      <c r="C28" s="88" t="s">
        <v>244</v>
      </c>
      <c r="D28" s="188">
        <v>10633109.11</v>
      </c>
      <c r="E28" s="2"/>
    </row>
    <row r="29" spans="1:5" ht="12.75">
      <c r="A29" s="8" t="s">
        <v>242</v>
      </c>
      <c r="B29" s="9" t="s">
        <v>144</v>
      </c>
      <c r="C29" s="88" t="s">
        <v>269</v>
      </c>
      <c r="D29" s="188">
        <v>1396189.78</v>
      </c>
      <c r="E29" s="14"/>
    </row>
    <row r="30" spans="1:5" ht="12.75">
      <c r="A30" s="8" t="s">
        <v>241</v>
      </c>
      <c r="B30" s="9" t="s">
        <v>144</v>
      </c>
      <c r="C30" s="88" t="s">
        <v>303</v>
      </c>
      <c r="D30" s="188">
        <v>1491182.77</v>
      </c>
      <c r="E30" s="14"/>
    </row>
    <row r="31" spans="1:5" ht="12.75">
      <c r="A31" s="8" t="s">
        <v>364</v>
      </c>
      <c r="B31" s="9" t="s">
        <v>235</v>
      </c>
      <c r="C31" s="87">
        <v>65501896472</v>
      </c>
      <c r="D31" s="188">
        <v>139223.21</v>
      </c>
      <c r="E31" s="2"/>
    </row>
    <row r="32" spans="1:5" ht="12.75">
      <c r="A32" s="9" t="s">
        <v>372</v>
      </c>
      <c r="B32" s="9" t="s">
        <v>235</v>
      </c>
      <c r="C32" s="87">
        <v>65501928095</v>
      </c>
      <c r="D32" s="188">
        <v>121401976.8</v>
      </c>
      <c r="E32" s="2"/>
    </row>
    <row r="33" spans="1:5" ht="12.75">
      <c r="A33" s="2"/>
      <c r="B33" s="2"/>
      <c r="C33" s="4"/>
      <c r="D33" s="117"/>
      <c r="E33" s="2"/>
    </row>
    <row r="34" spans="1:5" ht="12.75">
      <c r="A34" s="6" t="s">
        <v>175</v>
      </c>
      <c r="B34" s="2"/>
      <c r="C34" s="4"/>
      <c r="D34" s="191">
        <f>SUM(D14:D33)</f>
        <v>141812855.79</v>
      </c>
      <c r="E34" s="2"/>
    </row>
    <row r="35" spans="1:5" ht="12.75">
      <c r="A35" s="2"/>
      <c r="B35" s="2"/>
      <c r="C35" s="4"/>
      <c r="D35" s="117"/>
      <c r="E35" s="2"/>
    </row>
    <row r="36" spans="1:5" ht="12.75">
      <c r="A36" s="10" t="s">
        <v>217</v>
      </c>
      <c r="B36" s="2"/>
      <c r="C36" s="4"/>
      <c r="D36" s="117"/>
      <c r="E36" s="2"/>
    </row>
    <row r="37" spans="1:5" ht="12.75">
      <c r="A37" s="2"/>
      <c r="B37" s="2"/>
      <c r="C37" s="4"/>
      <c r="D37" s="117"/>
      <c r="E37" s="2"/>
    </row>
    <row r="38" spans="1:5" ht="12.75">
      <c r="A38" s="9" t="s">
        <v>201</v>
      </c>
      <c r="B38" s="9" t="s">
        <v>235</v>
      </c>
      <c r="C38" s="88" t="s">
        <v>317</v>
      </c>
      <c r="D38" s="188">
        <v>10610465.5</v>
      </c>
      <c r="E38" s="2"/>
    </row>
    <row r="39" spans="1:5" ht="12.75">
      <c r="A39" s="9" t="s">
        <v>514</v>
      </c>
      <c r="B39" s="9" t="s">
        <v>513</v>
      </c>
      <c r="C39" s="88" t="s">
        <v>515</v>
      </c>
      <c r="D39" s="188">
        <v>524690.3</v>
      </c>
      <c r="E39" s="2"/>
    </row>
    <row r="40" spans="1:5" ht="12.75">
      <c r="A40" s="2"/>
      <c r="B40" s="2"/>
      <c r="C40" s="4"/>
      <c r="D40" s="117"/>
      <c r="E40" s="2"/>
    </row>
    <row r="41" spans="1:5" ht="12.75">
      <c r="A41" s="6" t="s">
        <v>203</v>
      </c>
      <c r="B41" s="2"/>
      <c r="C41" s="4"/>
      <c r="D41" s="215">
        <f>SUM(D38:D40)</f>
        <v>11135155.8</v>
      </c>
      <c r="E41" s="2"/>
    </row>
    <row r="42" spans="1:5" ht="12.75">
      <c r="A42" s="2"/>
      <c r="B42" s="2"/>
      <c r="C42" s="4"/>
      <c r="D42" s="31"/>
      <c r="E42" s="2"/>
    </row>
    <row r="43" spans="1:5" ht="12.75">
      <c r="A43" s="2"/>
      <c r="B43" s="2"/>
      <c r="C43" s="4"/>
      <c r="D43" s="31"/>
      <c r="E43" s="2"/>
    </row>
    <row r="44" spans="1:5" ht="12.75">
      <c r="A44" s="2"/>
      <c r="B44" s="2"/>
      <c r="C44" s="4"/>
      <c r="D44" s="31"/>
      <c r="E44" s="2"/>
    </row>
    <row r="45" spans="1:5" ht="12.75">
      <c r="A45" s="2"/>
      <c r="B45" s="2"/>
      <c r="C45" s="4"/>
      <c r="D45" s="31"/>
      <c r="E45" s="2"/>
    </row>
    <row r="46" spans="1:5" ht="12.75">
      <c r="A46" s="2"/>
      <c r="B46" s="2"/>
      <c r="C46" s="4"/>
      <c r="D46" s="31"/>
      <c r="E46" s="2"/>
    </row>
    <row r="47" spans="1:5" ht="12.75">
      <c r="A47" s="2"/>
      <c r="B47" s="2"/>
      <c r="C47" s="4"/>
      <c r="D47" s="31"/>
      <c r="E47" s="2"/>
    </row>
    <row r="48" spans="1:5" ht="12.75">
      <c r="A48" s="2"/>
      <c r="B48" s="2"/>
      <c r="C48" s="4"/>
      <c r="D48" s="31"/>
      <c r="E48" s="2"/>
    </row>
    <row r="49" spans="1:5" ht="12.75">
      <c r="A49" s="2"/>
      <c r="B49" s="2"/>
      <c r="C49" s="4"/>
      <c r="D49" s="31"/>
      <c r="E49" s="2"/>
    </row>
    <row r="50" spans="1:5" ht="12.75">
      <c r="A50" s="2"/>
      <c r="B50" s="2"/>
      <c r="C50" s="4"/>
      <c r="D50" s="31"/>
      <c r="E50" s="2"/>
    </row>
    <row r="51" spans="1:5" ht="12.75">
      <c r="A51" s="2"/>
      <c r="B51" s="2"/>
      <c r="C51" s="4"/>
      <c r="D51" s="31"/>
      <c r="E51" s="2"/>
    </row>
    <row r="52" spans="1:5" ht="12.75">
      <c r="A52" s="2"/>
      <c r="B52" s="2"/>
      <c r="C52" s="4"/>
      <c r="D52" s="31" t="s">
        <v>18</v>
      </c>
      <c r="E52" s="2"/>
    </row>
    <row r="53" spans="1:5" ht="12.75">
      <c r="A53" s="2"/>
      <c r="B53" s="2"/>
      <c r="C53" s="4"/>
      <c r="D53" s="126" t="s">
        <v>436</v>
      </c>
      <c r="E53" s="2"/>
    </row>
    <row r="54" spans="1:5" ht="15">
      <c r="A54" s="245" t="s">
        <v>403</v>
      </c>
      <c r="B54" s="245"/>
      <c r="C54" s="245"/>
      <c r="D54" s="245"/>
      <c r="E54" s="2"/>
    </row>
    <row r="55" spans="1:5" ht="15">
      <c r="A55" s="245" t="s">
        <v>585</v>
      </c>
      <c r="B55" s="245"/>
      <c r="C55" s="245"/>
      <c r="D55" s="245"/>
      <c r="E55" s="2"/>
    </row>
    <row r="56" spans="1:5" ht="15">
      <c r="A56" s="245" t="s">
        <v>567</v>
      </c>
      <c r="B56" s="245"/>
      <c r="C56" s="245"/>
      <c r="D56" s="245"/>
      <c r="E56" s="2"/>
    </row>
    <row r="57" spans="1:5" ht="15">
      <c r="A57" s="105"/>
      <c r="B57" s="105"/>
      <c r="C57" s="105"/>
      <c r="D57" s="105"/>
      <c r="E57" s="2"/>
    </row>
    <row r="58" spans="1:5" ht="15">
      <c r="A58" s="105"/>
      <c r="B58" s="105"/>
      <c r="C58" s="105"/>
      <c r="D58" s="105"/>
      <c r="E58" s="2"/>
    </row>
    <row r="59" spans="1:5" ht="12.75">
      <c r="A59" s="19"/>
      <c r="B59" s="19"/>
      <c r="C59" s="111"/>
      <c r="D59" s="32"/>
      <c r="E59" s="2"/>
    </row>
    <row r="60" spans="1:5" ht="12.75">
      <c r="A60" s="19"/>
      <c r="B60" s="19"/>
      <c r="C60" s="3"/>
      <c r="D60" s="32"/>
      <c r="E60" s="2"/>
    </row>
    <row r="61" spans="1:5" ht="12.75">
      <c r="A61" s="98" t="s">
        <v>218</v>
      </c>
      <c r="B61" s="98" t="s">
        <v>157</v>
      </c>
      <c r="C61" s="98" t="s">
        <v>125</v>
      </c>
      <c r="D61" s="104" t="s">
        <v>20</v>
      </c>
      <c r="E61" s="2"/>
    </row>
    <row r="62" spans="1:5" ht="12.75">
      <c r="A62" s="3"/>
      <c r="B62" s="3"/>
      <c r="C62" s="3"/>
      <c r="D62" s="26"/>
      <c r="E62" s="2"/>
    </row>
    <row r="63" spans="1:5" ht="12.75">
      <c r="A63" s="3"/>
      <c r="B63" s="3"/>
      <c r="C63" s="3"/>
      <c r="D63" s="26"/>
      <c r="E63" s="2"/>
    </row>
    <row r="64" spans="1:5" ht="12.75">
      <c r="A64" s="10" t="s">
        <v>204</v>
      </c>
      <c r="B64" s="2"/>
      <c r="C64" s="4"/>
      <c r="D64" s="25"/>
      <c r="E64" s="2"/>
    </row>
    <row r="65" spans="1:4" ht="12.75">
      <c r="A65" s="2"/>
      <c r="B65" s="2"/>
      <c r="C65" s="4"/>
      <c r="D65" s="25"/>
    </row>
    <row r="66" spans="1:5" ht="12.75">
      <c r="A66" s="8" t="s">
        <v>202</v>
      </c>
      <c r="B66" s="9" t="s">
        <v>235</v>
      </c>
      <c r="C66" s="87" t="s">
        <v>128</v>
      </c>
      <c r="D66" s="188">
        <v>15648.81</v>
      </c>
      <c r="E66" s="14" t="s">
        <v>314</v>
      </c>
    </row>
    <row r="67" spans="1:5" ht="12.75">
      <c r="A67" s="8" t="s">
        <v>205</v>
      </c>
      <c r="B67" s="9" t="s">
        <v>235</v>
      </c>
      <c r="C67" s="87" t="s">
        <v>129</v>
      </c>
      <c r="D67" s="188">
        <v>742210.66</v>
      </c>
      <c r="E67" s="14" t="s">
        <v>315</v>
      </c>
    </row>
    <row r="68" spans="1:5" ht="12.75">
      <c r="A68" s="9" t="s">
        <v>132</v>
      </c>
      <c r="B68" s="9" t="s">
        <v>235</v>
      </c>
      <c r="C68" s="87" t="s">
        <v>133</v>
      </c>
      <c r="D68" s="188">
        <v>21901444.98</v>
      </c>
      <c r="E68" s="2"/>
    </row>
    <row r="69" spans="1:5" ht="12.75">
      <c r="A69" s="9" t="s">
        <v>94</v>
      </c>
      <c r="B69" s="9" t="s">
        <v>238</v>
      </c>
      <c r="C69" s="87" t="s">
        <v>131</v>
      </c>
      <c r="D69" s="188">
        <v>2067.5</v>
      </c>
      <c r="E69" s="2"/>
    </row>
    <row r="70" spans="1:5" ht="12.75">
      <c r="A70" s="9" t="s">
        <v>196</v>
      </c>
      <c r="B70" s="9" t="s">
        <v>239</v>
      </c>
      <c r="C70" s="87" t="s">
        <v>135</v>
      </c>
      <c r="D70" s="188">
        <v>2241680.9</v>
      </c>
      <c r="E70" s="2"/>
    </row>
    <row r="71" spans="1:5" ht="12.75">
      <c r="A71" s="9" t="s">
        <v>146</v>
      </c>
      <c r="B71" s="9" t="s">
        <v>235</v>
      </c>
      <c r="C71" s="87" t="s">
        <v>145</v>
      </c>
      <c r="D71" s="188">
        <v>1287293.44</v>
      </c>
      <c r="E71" s="2"/>
    </row>
    <row r="72" spans="1:5" ht="12.75">
      <c r="A72" s="9" t="s">
        <v>471</v>
      </c>
      <c r="B72" s="9" t="s">
        <v>235</v>
      </c>
      <c r="C72" s="87" t="s">
        <v>470</v>
      </c>
      <c r="D72" s="188">
        <v>9772</v>
      </c>
      <c r="E72" s="2"/>
    </row>
    <row r="73" spans="1:4" ht="12.75">
      <c r="A73" s="9" t="s">
        <v>347</v>
      </c>
      <c r="B73" s="9" t="s">
        <v>235</v>
      </c>
      <c r="C73" s="87" t="s">
        <v>349</v>
      </c>
      <c r="D73" s="188">
        <v>15181.49</v>
      </c>
    </row>
    <row r="74" spans="1:5" ht="12.75">
      <c r="A74" s="9" t="s">
        <v>304</v>
      </c>
      <c r="B74" s="9" t="s">
        <v>235</v>
      </c>
      <c r="C74" s="87">
        <v>82500274581</v>
      </c>
      <c r="D74" s="188">
        <v>309624.4</v>
      </c>
      <c r="E74" s="14" t="s">
        <v>316</v>
      </c>
    </row>
    <row r="75" spans="1:5" ht="12.75">
      <c r="A75" s="9" t="s">
        <v>306</v>
      </c>
      <c r="B75" s="9" t="s">
        <v>235</v>
      </c>
      <c r="C75" s="87" t="s">
        <v>305</v>
      </c>
      <c r="D75" s="188">
        <v>2556490.85</v>
      </c>
      <c r="E75" s="2"/>
    </row>
    <row r="76" spans="1:5" ht="12.75">
      <c r="A76" s="9" t="s">
        <v>197</v>
      </c>
      <c r="B76" s="9" t="s">
        <v>235</v>
      </c>
      <c r="C76" s="87" t="s">
        <v>134</v>
      </c>
      <c r="D76" s="188">
        <v>1241629.51</v>
      </c>
      <c r="E76" s="2"/>
    </row>
    <row r="77" spans="1:5" ht="12.75">
      <c r="A77" s="9" t="s">
        <v>360</v>
      </c>
      <c r="B77" s="9" t="s">
        <v>235</v>
      </c>
      <c r="C77" s="87" t="s">
        <v>361</v>
      </c>
      <c r="D77" s="188">
        <v>14574269.58</v>
      </c>
      <c r="E77" s="2"/>
    </row>
    <row r="78" spans="1:5" ht="12.75">
      <c r="A78" s="9" t="s">
        <v>358</v>
      </c>
      <c r="B78" s="9" t="s">
        <v>235</v>
      </c>
      <c r="C78" s="87" t="s">
        <v>362</v>
      </c>
      <c r="D78" s="188">
        <v>2531199.18</v>
      </c>
      <c r="E78" s="2"/>
    </row>
    <row r="79" spans="1:5" ht="12.75">
      <c r="A79" s="9" t="s">
        <v>388</v>
      </c>
      <c r="B79" s="9" t="s">
        <v>235</v>
      </c>
      <c r="C79" s="87" t="s">
        <v>389</v>
      </c>
      <c r="D79" s="188">
        <v>253812.73</v>
      </c>
      <c r="E79" s="2"/>
    </row>
    <row r="80" spans="1:5" ht="12.75">
      <c r="A80" s="9" t="s">
        <v>528</v>
      </c>
      <c r="B80" s="9" t="s">
        <v>235</v>
      </c>
      <c r="C80" s="87" t="s">
        <v>568</v>
      </c>
      <c r="D80" s="188">
        <v>7584689.25</v>
      </c>
      <c r="E80" s="2"/>
    </row>
    <row r="81" spans="1:5" ht="12.75">
      <c r="A81" s="2"/>
      <c r="B81" s="2"/>
      <c r="C81" s="2"/>
      <c r="D81" s="117"/>
      <c r="E81" s="2"/>
    </row>
    <row r="82" spans="1:5" ht="12.75">
      <c r="A82" s="10" t="s">
        <v>206</v>
      </c>
      <c r="B82" s="2"/>
      <c r="C82" s="4"/>
      <c r="D82" s="215">
        <f>SUM(D66:D81)</f>
        <v>55267015.279999994</v>
      </c>
      <c r="E82" s="2"/>
    </row>
    <row r="83" spans="1:5" ht="12.75">
      <c r="A83" s="6"/>
      <c r="B83" s="6"/>
      <c r="C83" s="87"/>
      <c r="D83" s="219"/>
      <c r="E83" s="2"/>
    </row>
    <row r="84" spans="1:5" ht="13.5" thickBot="1">
      <c r="A84" s="6" t="s">
        <v>136</v>
      </c>
      <c r="B84" s="9"/>
      <c r="C84" s="12" t="s">
        <v>137</v>
      </c>
      <c r="D84" s="203">
        <f>SUM(D34+D41+D82)</f>
        <v>208215026.87</v>
      </c>
      <c r="E84" s="2"/>
    </row>
    <row r="85" spans="1:5" ht="13.5" thickTop="1">
      <c r="A85" s="6"/>
      <c r="B85" s="9"/>
      <c r="C85" s="12"/>
      <c r="D85" s="38"/>
      <c r="E85" s="2"/>
    </row>
    <row r="86" spans="1:5" ht="12.75">
      <c r="A86" s="6"/>
      <c r="B86" s="9"/>
      <c r="C86" s="12"/>
      <c r="D86" s="38"/>
      <c r="E86" s="2"/>
    </row>
    <row r="87" spans="1:5" ht="12.75">
      <c r="A87" s="6"/>
      <c r="B87" s="9"/>
      <c r="C87" s="12"/>
      <c r="D87" s="38"/>
      <c r="E87" s="2"/>
    </row>
    <row r="88" spans="1:5" ht="12.75">
      <c r="A88" s="6"/>
      <c r="B88" s="9"/>
      <c r="C88" s="12"/>
      <c r="D88" s="38"/>
      <c r="E88" s="2"/>
    </row>
    <row r="89" spans="1:5" ht="12.75">
      <c r="A89" s="6"/>
      <c r="B89" s="9"/>
      <c r="C89" s="12"/>
      <c r="D89" s="38"/>
      <c r="E89" s="2"/>
    </row>
    <row r="90" spans="1:5" ht="12.75">
      <c r="A90" s="10" t="s">
        <v>29</v>
      </c>
      <c r="B90" s="9"/>
      <c r="C90" s="12"/>
      <c r="D90" s="38"/>
      <c r="E90" s="2"/>
    </row>
    <row r="91" ht="12.75">
      <c r="A91" s="2"/>
    </row>
    <row r="92" ht="12.75">
      <c r="A92" s="21" t="s">
        <v>365</v>
      </c>
    </row>
    <row r="93" ht="12.75">
      <c r="A93" s="21" t="s">
        <v>366</v>
      </c>
    </row>
    <row r="94" ht="12.75">
      <c r="A94" s="21" t="s">
        <v>569</v>
      </c>
    </row>
    <row r="95" ht="12.75">
      <c r="A95" s="63" t="s">
        <v>519</v>
      </c>
    </row>
    <row r="96" ht="12.75">
      <c r="A96" s="21" t="s">
        <v>570</v>
      </c>
    </row>
    <row r="97" ht="12.75">
      <c r="A97" s="21" t="s">
        <v>571</v>
      </c>
    </row>
    <row r="98" ht="12.75">
      <c r="A98" s="21" t="s">
        <v>572</v>
      </c>
    </row>
    <row r="99" ht="12.75">
      <c r="A99" s="21"/>
    </row>
  </sheetData>
  <mergeCells count="6">
    <mergeCell ref="A55:D55"/>
    <mergeCell ref="A56:D56"/>
    <mergeCell ref="A3:D3"/>
    <mergeCell ref="A4:D4"/>
    <mergeCell ref="A5:D5"/>
    <mergeCell ref="A54:D5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workbookViewId="0" topLeftCell="A1">
      <selection activeCell="A13" sqref="A13:IV13"/>
    </sheetView>
  </sheetViews>
  <sheetFormatPr defaultColWidth="9.140625" defaultRowHeight="12.75"/>
  <cols>
    <col min="1" max="1" width="31.421875" style="2" customWidth="1"/>
    <col min="2" max="5" width="15.00390625" style="2" customWidth="1"/>
    <col min="6" max="6" width="13.8515625" style="2" bestFit="1" customWidth="1"/>
    <col min="7" max="7" width="2.8515625" style="2" customWidth="1"/>
    <col min="8" max="8" width="4.7109375" style="2" customWidth="1"/>
    <col min="9" max="16384" width="11.421875" style="2" customWidth="1"/>
  </cols>
  <sheetData>
    <row r="3" spans="5:6" ht="12.75" customHeight="1">
      <c r="E3" s="246" t="s">
        <v>3</v>
      </c>
      <c r="F3" s="246"/>
    </row>
    <row r="4" spans="1:6" ht="13.5" customHeight="1">
      <c r="A4" s="245" t="s">
        <v>403</v>
      </c>
      <c r="B4" s="245"/>
      <c r="C4" s="245"/>
      <c r="D4" s="245"/>
      <c r="E4" s="245"/>
      <c r="F4" s="245"/>
    </row>
    <row r="5" spans="1:6" ht="13.5" customHeight="1">
      <c r="A5" s="247" t="s">
        <v>585</v>
      </c>
      <c r="B5" s="247"/>
      <c r="C5" s="247"/>
      <c r="D5" s="247"/>
      <c r="E5" s="247"/>
      <c r="F5" s="247"/>
    </row>
    <row r="6" spans="1:6" ht="13.5" customHeight="1">
      <c r="A6" s="245" t="s">
        <v>404</v>
      </c>
      <c r="B6" s="245"/>
      <c r="C6" s="245"/>
      <c r="D6" s="245"/>
      <c r="E6" s="245"/>
      <c r="F6" s="245"/>
    </row>
    <row r="7" spans="1:6" ht="15.75" customHeight="1">
      <c r="A7" s="245" t="s">
        <v>490</v>
      </c>
      <c r="B7" s="245"/>
      <c r="C7" s="245"/>
      <c r="D7" s="245"/>
      <c r="E7" s="245"/>
      <c r="F7" s="245"/>
    </row>
    <row r="8" spans="1:6" ht="6" customHeight="1">
      <c r="A8" s="19"/>
      <c r="B8" s="19"/>
      <c r="C8" s="19"/>
      <c r="D8" s="19"/>
      <c r="E8" s="19"/>
      <c r="F8" s="19"/>
    </row>
    <row r="9" spans="1:6" ht="6" customHeight="1">
      <c r="A9" s="19"/>
      <c r="B9" s="19"/>
      <c r="C9" s="19"/>
      <c r="D9" s="19"/>
      <c r="E9" s="19"/>
      <c r="F9" s="19"/>
    </row>
    <row r="10" spans="1:6" ht="6" customHeight="1">
      <c r="A10" s="19"/>
      <c r="B10" s="19"/>
      <c r="C10" s="19"/>
      <c r="D10" s="19"/>
      <c r="E10" s="19"/>
      <c r="F10" s="19"/>
    </row>
    <row r="11" spans="1:6" ht="6" customHeight="1">
      <c r="A11" s="19"/>
      <c r="B11" s="19"/>
      <c r="C11" s="19"/>
      <c r="D11" s="19"/>
      <c r="E11" s="19"/>
      <c r="F11" s="19"/>
    </row>
    <row r="12" spans="1:6" ht="6" customHeight="1">
      <c r="A12" s="19"/>
      <c r="B12" s="19"/>
      <c r="C12" s="19"/>
      <c r="D12" s="19"/>
      <c r="E12" s="19"/>
      <c r="F12" s="19"/>
    </row>
    <row r="13" spans="1:6" ht="6" customHeight="1">
      <c r="A13" s="19"/>
      <c r="B13" s="19"/>
      <c r="C13" s="19"/>
      <c r="D13" s="19"/>
      <c r="E13" s="19"/>
      <c r="F13" s="19"/>
    </row>
    <row r="14" spans="1:6" ht="13.5" customHeight="1">
      <c r="A14" s="83"/>
      <c r="B14" s="83"/>
      <c r="C14" s="83"/>
      <c r="D14" s="236"/>
      <c r="E14" s="83"/>
      <c r="F14" s="3"/>
    </row>
    <row r="15" spans="1:6" ht="18" customHeight="1">
      <c r="A15" s="108" t="s">
        <v>19</v>
      </c>
      <c r="B15" s="109" t="s">
        <v>487</v>
      </c>
      <c r="C15" s="109" t="s">
        <v>488</v>
      </c>
      <c r="D15" s="109" t="s">
        <v>489</v>
      </c>
      <c r="E15" s="108" t="s">
        <v>20</v>
      </c>
      <c r="F15" s="98" t="s">
        <v>21</v>
      </c>
    </row>
    <row r="16" spans="1:6" ht="12.75">
      <c r="A16" s="83"/>
      <c r="B16" s="83"/>
      <c r="C16" s="83"/>
      <c r="D16" s="83"/>
      <c r="E16" s="83"/>
      <c r="F16" s="3"/>
    </row>
    <row r="17" ht="6" customHeight="1"/>
    <row r="18" spans="1:8" ht="12.75">
      <c r="A18" s="2" t="s">
        <v>22</v>
      </c>
      <c r="B18" s="154">
        <v>12377461</v>
      </c>
      <c r="C18" s="154">
        <v>36080902</v>
      </c>
      <c r="D18" s="154">
        <f>116802331+36942418</f>
        <v>153744749</v>
      </c>
      <c r="E18" s="154">
        <f>SUM(B18:D18)</f>
        <v>202203112</v>
      </c>
      <c r="F18" s="156">
        <f>E18/E30*100</f>
        <v>21.268179191144906</v>
      </c>
      <c r="G18" s="11"/>
      <c r="H18" s="11"/>
    </row>
    <row r="19" spans="1:8" ht="12.75">
      <c r="A19" s="2" t="s">
        <v>430</v>
      </c>
      <c r="B19" s="154">
        <f>169027151+4092159.8</f>
        <v>173119310.8</v>
      </c>
      <c r="C19" s="154">
        <v>72043986</v>
      </c>
      <c r="D19" s="154">
        <v>7315053.33</v>
      </c>
      <c r="E19" s="154">
        <f>SUM(B19:D19)</f>
        <v>252478350.13000003</v>
      </c>
      <c r="F19" s="156">
        <f>E19/E30*100</f>
        <v>26.556242084194352</v>
      </c>
      <c r="G19" s="11"/>
      <c r="H19" s="11"/>
    </row>
    <row r="20" spans="1:8" ht="12.75">
      <c r="A20" s="2" t="s">
        <v>530</v>
      </c>
      <c r="B20" s="154"/>
      <c r="C20" s="154">
        <v>190000000</v>
      </c>
      <c r="D20" s="155"/>
      <c r="E20" s="154">
        <f>SUM(B20:D20)</f>
        <v>190000000</v>
      </c>
      <c r="F20" s="156">
        <f>E20/E30*100</f>
        <v>19.984628358823343</v>
      </c>
      <c r="G20" s="11"/>
      <c r="H20" s="11"/>
    </row>
    <row r="21" spans="2:8" ht="6.75" customHeight="1">
      <c r="B21" s="157"/>
      <c r="C21" s="157"/>
      <c r="D21" s="158"/>
      <c r="E21" s="157"/>
      <c r="F21" s="159"/>
      <c r="H21" s="17"/>
    </row>
    <row r="22" spans="1:8" ht="12.75">
      <c r="A22" s="103" t="s">
        <v>25</v>
      </c>
      <c r="B22" s="158">
        <f>SUM(B18:B20)</f>
        <v>185496771.8</v>
      </c>
      <c r="C22" s="158">
        <f>SUM(C18:C20)</f>
        <v>298124888</v>
      </c>
      <c r="D22" s="158">
        <f>SUM(D18:D20)</f>
        <v>161059802.33</v>
      </c>
      <c r="E22" s="158">
        <f>SUM(E18:E20)</f>
        <v>644681462.13</v>
      </c>
      <c r="F22" s="158">
        <f>SUM(F18:F20)</f>
        <v>67.8090496341626</v>
      </c>
      <c r="H22" s="17"/>
    </row>
    <row r="23" spans="2:8" ht="6" customHeight="1">
      <c r="B23" s="155"/>
      <c r="C23" s="155"/>
      <c r="D23" s="155"/>
      <c r="E23" s="160"/>
      <c r="F23" s="161"/>
      <c r="H23" s="17"/>
    </row>
    <row r="24" spans="1:8" ht="12.75">
      <c r="A24" s="8" t="s">
        <v>26</v>
      </c>
      <c r="B24" s="155">
        <v>45000000</v>
      </c>
      <c r="C24" s="155">
        <v>115037048.23</v>
      </c>
      <c r="D24" s="155">
        <f>30000000</f>
        <v>30000000</v>
      </c>
      <c r="E24" s="160">
        <f>SUM(B24:D24)</f>
        <v>190037048.23000002</v>
      </c>
      <c r="F24" s="161">
        <f>E24/E30*100</f>
        <v>19.988525175180722</v>
      </c>
      <c r="G24" s="11"/>
      <c r="H24" s="11"/>
    </row>
    <row r="25" spans="1:8" ht="12.75">
      <c r="A25" s="8" t="s">
        <v>563</v>
      </c>
      <c r="B25" s="155"/>
      <c r="C25" s="155"/>
      <c r="D25" s="155">
        <v>15000000</v>
      </c>
      <c r="E25" s="160">
        <f>SUM(B25:D25)</f>
        <v>15000000</v>
      </c>
      <c r="F25" s="161">
        <f>E25/E30*100</f>
        <v>1.5777338178018427</v>
      </c>
      <c r="G25" s="11"/>
      <c r="H25" s="11"/>
    </row>
    <row r="26" spans="1:8" ht="12.75">
      <c r="A26" s="8" t="s">
        <v>502</v>
      </c>
      <c r="B26" s="155">
        <v>1012204.21</v>
      </c>
      <c r="C26" s="155"/>
      <c r="D26" s="155">
        <v>100000000</v>
      </c>
      <c r="E26" s="160">
        <f>SUM(B26:D26)</f>
        <v>101012204.21</v>
      </c>
      <c r="F26" s="161">
        <f>E26/E30*100</f>
        <v>10.624691372854844</v>
      </c>
      <c r="G26" s="11"/>
      <c r="H26" s="11"/>
    </row>
    <row r="27" spans="1:7" ht="6.75" customHeight="1">
      <c r="A27" s="8"/>
      <c r="B27" s="158"/>
      <c r="C27" s="158"/>
      <c r="D27" s="158"/>
      <c r="E27" s="157"/>
      <c r="F27" s="159"/>
      <c r="G27" s="11"/>
    </row>
    <row r="28" spans="1:7" ht="12.75">
      <c r="A28" s="103" t="s">
        <v>28</v>
      </c>
      <c r="B28" s="155">
        <f>SUM(B24:B27)</f>
        <v>46012204.21</v>
      </c>
      <c r="C28" s="155">
        <f>SUM(C24:C27)</f>
        <v>115037048.23</v>
      </c>
      <c r="D28" s="155">
        <f>SUM(D24:D27)</f>
        <v>145000000</v>
      </c>
      <c r="E28" s="155">
        <f>SUM(E24:E27)</f>
        <v>306049252.44</v>
      </c>
      <c r="F28" s="155">
        <f>SUM(F24:F27)</f>
        <v>32.19095036583741</v>
      </c>
      <c r="G28" s="17"/>
    </row>
    <row r="29" spans="1:6" ht="6.75" customHeight="1">
      <c r="A29" s="8"/>
      <c r="B29" s="155"/>
      <c r="C29" s="155"/>
      <c r="D29" s="155"/>
      <c r="E29" s="160"/>
      <c r="F29" s="161"/>
    </row>
    <row r="30" spans="1:6" ht="13.5" thickBot="1">
      <c r="A30" s="103" t="s">
        <v>208</v>
      </c>
      <c r="B30" s="162">
        <f>B22+B28</f>
        <v>231508976.01000002</v>
      </c>
      <c r="C30" s="162">
        <f>C22+C28</f>
        <v>413161936.23</v>
      </c>
      <c r="D30" s="162">
        <f>D22+D28</f>
        <v>306059802.33000004</v>
      </c>
      <c r="E30" s="162">
        <f>E22+E28</f>
        <v>950730714.5699999</v>
      </c>
      <c r="F30" s="163">
        <f>F22+F28</f>
        <v>100.00000000000001</v>
      </c>
    </row>
    <row r="31" spans="1:6" ht="6.75" customHeight="1" thickTop="1">
      <c r="A31" s="6"/>
      <c r="B31" s="164"/>
      <c r="C31" s="164"/>
      <c r="D31" s="164"/>
      <c r="E31" s="164"/>
      <c r="F31" s="164"/>
    </row>
    <row r="32" spans="1:6" ht="12.75" customHeight="1">
      <c r="A32" s="6"/>
      <c r="B32" s="164"/>
      <c r="C32" s="164"/>
      <c r="D32" s="164"/>
      <c r="E32" s="164"/>
      <c r="F32" s="164"/>
    </row>
    <row r="33" spans="1:6" ht="12.75" customHeight="1">
      <c r="A33" s="6"/>
      <c r="B33" s="16"/>
      <c r="C33" s="16"/>
      <c r="D33" s="16"/>
      <c r="E33" s="16"/>
      <c r="F33" s="16"/>
    </row>
    <row r="34" spans="1:6" ht="12.75" customHeight="1">
      <c r="A34" s="6"/>
      <c r="B34" s="16"/>
      <c r="C34" s="16"/>
      <c r="D34" s="16"/>
      <c r="E34" s="16"/>
      <c r="F34" s="16"/>
    </row>
    <row r="35" spans="1:6" ht="12.75" customHeight="1">
      <c r="A35" s="6"/>
      <c r="B35" s="16"/>
      <c r="C35" s="16"/>
      <c r="D35" s="16"/>
      <c r="E35" s="16"/>
      <c r="F35" s="16"/>
    </row>
    <row r="36" spans="1:6" ht="12.75" customHeight="1">
      <c r="A36" s="6"/>
      <c r="B36" s="16"/>
      <c r="C36" s="16"/>
      <c r="D36" s="16"/>
      <c r="E36" s="16"/>
      <c r="F36" s="16"/>
    </row>
    <row r="37" spans="1:7" ht="13.5" customHeight="1">
      <c r="A37" s="93"/>
      <c r="B37" s="22"/>
      <c r="C37" s="22"/>
      <c r="D37" s="22"/>
      <c r="E37" s="22"/>
      <c r="F37" s="22"/>
      <c r="G37" s="22"/>
    </row>
    <row r="38" spans="1:7" ht="13.5" customHeight="1">
      <c r="A38" s="11"/>
      <c r="B38" s="22"/>
      <c r="C38" s="22"/>
      <c r="D38" s="22"/>
      <c r="E38" s="22"/>
      <c r="F38" s="185"/>
      <c r="G38" s="22"/>
    </row>
    <row r="39" spans="1:7" ht="13.5" customHeight="1">
      <c r="A39" s="13"/>
      <c r="B39" s="22"/>
      <c r="C39" s="22"/>
      <c r="D39" s="22"/>
      <c r="E39" s="22"/>
      <c r="F39" s="186"/>
      <c r="G39" s="22"/>
    </row>
    <row r="40" spans="1:7" ht="12.75" customHeight="1">
      <c r="A40" s="11"/>
      <c r="B40" s="94"/>
      <c r="C40" s="94"/>
      <c r="D40" s="94"/>
      <c r="E40" s="94"/>
      <c r="F40" s="186"/>
      <c r="G40" s="94"/>
    </row>
    <row r="41" spans="1:7" ht="12.75" customHeight="1">
      <c r="A41" s="13"/>
      <c r="B41" s="94"/>
      <c r="C41" s="94"/>
      <c r="D41" s="94"/>
      <c r="E41" s="94"/>
      <c r="F41" s="186"/>
      <c r="G41" s="94"/>
    </row>
    <row r="42" spans="1:7" ht="12.75" customHeight="1">
      <c r="A42" s="11"/>
      <c r="B42" s="94"/>
      <c r="C42" s="94"/>
      <c r="D42" s="94"/>
      <c r="E42" s="94"/>
      <c r="F42" s="186"/>
      <c r="G42" s="94"/>
    </row>
    <row r="43" spans="1:7" ht="12.75" customHeight="1">
      <c r="A43" s="11"/>
      <c r="B43" s="94"/>
      <c r="C43" s="94"/>
      <c r="D43" s="94"/>
      <c r="E43" s="94"/>
      <c r="F43" s="186"/>
      <c r="G43" s="94"/>
    </row>
    <row r="44" spans="1:7" ht="12.75" customHeight="1">
      <c r="A44" s="11"/>
      <c r="B44" s="94"/>
      <c r="C44" s="94"/>
      <c r="D44" s="94"/>
      <c r="E44" s="94"/>
      <c r="F44" s="186"/>
      <c r="G44" s="94"/>
    </row>
    <row r="45" spans="2:7" ht="6" customHeight="1">
      <c r="B45" s="94"/>
      <c r="C45" s="94"/>
      <c r="D45" s="94"/>
      <c r="E45" s="94"/>
      <c r="F45" s="186"/>
      <c r="G45" s="94"/>
    </row>
    <row r="46" spans="1:7" ht="12.75" customHeight="1">
      <c r="A46" s="11"/>
      <c r="B46" s="94"/>
      <c r="C46" s="94"/>
      <c r="D46" s="94"/>
      <c r="E46" s="94"/>
      <c r="F46" s="186"/>
      <c r="G46" s="94"/>
    </row>
    <row r="47" spans="1:7" ht="12.75" customHeight="1">
      <c r="A47" s="11"/>
      <c r="C47" s="94"/>
      <c r="D47" s="94"/>
      <c r="E47" s="94"/>
      <c r="F47" s="186"/>
      <c r="G47" s="94"/>
    </row>
    <row r="48" spans="1:7" ht="12.75" customHeight="1">
      <c r="A48" s="11"/>
      <c r="B48" s="94"/>
      <c r="C48" s="94"/>
      <c r="D48" s="94"/>
      <c r="E48" s="94"/>
      <c r="F48" s="186"/>
      <c r="G48" s="94"/>
    </row>
    <row r="49" spans="1:7" ht="12.75" customHeight="1">
      <c r="A49" s="13"/>
      <c r="B49" s="94"/>
      <c r="C49" s="94"/>
      <c r="D49" s="94"/>
      <c r="E49" s="94"/>
      <c r="F49" s="186"/>
      <c r="G49" s="94"/>
    </row>
    <row r="50" spans="1:7" ht="12.75" customHeight="1">
      <c r="A50" s="11"/>
      <c r="B50" s="94"/>
      <c r="C50" s="94"/>
      <c r="D50" s="94"/>
      <c r="E50" s="94"/>
      <c r="F50" s="186"/>
      <c r="G50" s="94"/>
    </row>
    <row r="51" spans="1:7" ht="12.75" customHeight="1">
      <c r="A51" s="11"/>
      <c r="B51" s="94"/>
      <c r="C51" s="94"/>
      <c r="D51" s="94"/>
      <c r="E51" s="94"/>
      <c r="F51" s="186"/>
      <c r="G51" s="94"/>
    </row>
    <row r="52" spans="1:7" ht="12.75" customHeight="1">
      <c r="A52" s="11"/>
      <c r="C52" s="94"/>
      <c r="D52" s="94"/>
      <c r="E52" s="94"/>
      <c r="F52" s="186"/>
      <c r="G52" s="94"/>
    </row>
    <row r="53" spans="1:7" ht="12.75" customHeight="1">
      <c r="A53" s="13"/>
      <c r="C53" s="94"/>
      <c r="D53" s="94"/>
      <c r="E53" s="94"/>
      <c r="F53" s="186"/>
      <c r="G53" s="94"/>
    </row>
    <row r="54" spans="1:7" ht="12.75" customHeight="1">
      <c r="A54" s="11"/>
      <c r="C54" s="94"/>
      <c r="D54" s="94"/>
      <c r="E54" s="94"/>
      <c r="F54" s="186"/>
      <c r="G54" s="94"/>
    </row>
    <row r="55" spans="1:7" ht="12.75" customHeight="1">
      <c r="A55" s="13"/>
      <c r="B55" s="94"/>
      <c r="C55" s="94"/>
      <c r="D55" s="94"/>
      <c r="E55" s="94"/>
      <c r="F55" s="186"/>
      <c r="G55" s="94"/>
    </row>
    <row r="56" spans="1:7" ht="12.75" customHeight="1">
      <c r="A56" s="11"/>
      <c r="B56" s="94"/>
      <c r="C56" s="94"/>
      <c r="D56" s="94"/>
      <c r="E56" s="94"/>
      <c r="F56" s="186"/>
      <c r="G56" s="94"/>
    </row>
    <row r="57" spans="1:7" ht="12.75" customHeight="1">
      <c r="A57" s="11"/>
      <c r="B57" s="94"/>
      <c r="C57" s="94"/>
      <c r="D57" s="94"/>
      <c r="E57" s="94"/>
      <c r="F57" s="186"/>
      <c r="G57" s="94"/>
    </row>
    <row r="58" spans="1:7" ht="12.75" customHeight="1">
      <c r="A58" s="11"/>
      <c r="B58" s="94"/>
      <c r="C58" s="94"/>
      <c r="D58" s="94"/>
      <c r="E58" s="94"/>
      <c r="F58" s="186"/>
      <c r="G58" s="94"/>
    </row>
    <row r="59" spans="1:7" ht="12.75" customHeight="1">
      <c r="A59" s="11"/>
      <c r="B59" s="94"/>
      <c r="C59" s="94"/>
      <c r="D59" s="94"/>
      <c r="E59" s="94"/>
      <c r="F59" s="186"/>
      <c r="G59" s="94"/>
    </row>
    <row r="60" spans="1:7" ht="12.75" customHeight="1">
      <c r="A60" s="13"/>
      <c r="B60" s="94"/>
      <c r="C60" s="94"/>
      <c r="D60" s="94"/>
      <c r="E60" s="94"/>
      <c r="F60" s="186"/>
      <c r="G60" s="94"/>
    </row>
    <row r="61" spans="1:7" ht="12.75" customHeight="1">
      <c r="A61" s="11"/>
      <c r="B61" s="94"/>
      <c r="C61" s="94"/>
      <c r="D61" s="94"/>
      <c r="E61" s="94"/>
      <c r="F61" s="186"/>
      <c r="G61" s="94"/>
    </row>
    <row r="62" spans="1:7" ht="6" customHeight="1">
      <c r="A62" s="94"/>
      <c r="B62" s="94"/>
      <c r="C62" s="94"/>
      <c r="D62" s="94"/>
      <c r="E62" s="94"/>
      <c r="F62" s="186"/>
      <c r="G62" s="94"/>
    </row>
    <row r="63" spans="1:7" ht="12.75" customHeight="1">
      <c r="A63" s="11"/>
      <c r="B63" s="94"/>
      <c r="C63" s="94"/>
      <c r="D63" s="94"/>
      <c r="E63" s="94"/>
      <c r="F63" s="186"/>
      <c r="G63" s="94"/>
    </row>
    <row r="64" spans="1:7" ht="6" customHeight="1">
      <c r="A64" s="94"/>
      <c r="B64" s="94"/>
      <c r="C64" s="94"/>
      <c r="D64" s="94"/>
      <c r="E64" s="94"/>
      <c r="F64" s="186"/>
      <c r="G64" s="94"/>
    </row>
    <row r="65" spans="1:7" ht="12.75" customHeight="1">
      <c r="A65" s="11"/>
      <c r="B65" s="11"/>
      <c r="C65" s="11"/>
      <c r="D65" s="11"/>
      <c r="E65" s="11"/>
      <c r="F65" s="186"/>
      <c r="G65" s="11"/>
    </row>
    <row r="66" spans="1:7" ht="12.75" customHeight="1">
      <c r="A66" s="13"/>
      <c r="C66" s="11"/>
      <c r="D66" s="11"/>
      <c r="E66" s="11"/>
      <c r="F66" s="186"/>
      <c r="G66" s="11"/>
    </row>
    <row r="67" spans="1:7" ht="12.75" customHeight="1">
      <c r="A67" s="11"/>
      <c r="B67" s="11"/>
      <c r="C67" s="11"/>
      <c r="D67" s="11"/>
      <c r="E67" s="11"/>
      <c r="F67" s="186"/>
      <c r="G67" s="11"/>
    </row>
    <row r="68" spans="1:7" ht="12.75" customHeight="1">
      <c r="A68" s="13"/>
      <c r="B68" s="11"/>
      <c r="C68" s="11"/>
      <c r="D68" s="11"/>
      <c r="E68" s="11"/>
      <c r="F68" s="186"/>
      <c r="G68" s="11"/>
    </row>
    <row r="69" spans="1:7" ht="12.75" customHeight="1">
      <c r="A69" s="11"/>
      <c r="B69" s="11"/>
      <c r="C69" s="11"/>
      <c r="D69" s="11"/>
      <c r="E69" s="11"/>
      <c r="F69" s="186"/>
      <c r="G69" s="11"/>
    </row>
    <row r="70" spans="2:7" ht="6" customHeight="1">
      <c r="B70" s="94"/>
      <c r="C70" s="94"/>
      <c r="D70" s="94"/>
      <c r="E70" s="94"/>
      <c r="F70" s="19"/>
      <c r="G70" s="94"/>
    </row>
    <row r="71" spans="1:7" ht="12.75" customHeight="1">
      <c r="A71" s="11"/>
      <c r="B71" s="94"/>
      <c r="C71" s="94"/>
      <c r="D71" s="94"/>
      <c r="E71" s="94"/>
      <c r="F71" s="186"/>
      <c r="G71" s="94"/>
    </row>
    <row r="72" spans="2:7" ht="6" customHeight="1">
      <c r="B72" s="94"/>
      <c r="C72" s="94"/>
      <c r="D72" s="94"/>
      <c r="E72" s="94"/>
      <c r="G72" s="94"/>
    </row>
    <row r="73" spans="1:7" ht="12.75" customHeight="1">
      <c r="A73" s="11"/>
      <c r="B73" s="94"/>
      <c r="C73" s="94"/>
      <c r="D73" s="94"/>
      <c r="E73" s="94"/>
      <c r="G73" s="94"/>
    </row>
    <row r="74" spans="1:7" ht="12.75" customHeight="1">
      <c r="A74" s="13"/>
      <c r="B74" s="94"/>
      <c r="C74" s="94"/>
      <c r="D74" s="94"/>
      <c r="E74" s="94"/>
      <c r="F74" s="186"/>
      <c r="G74" s="94"/>
    </row>
    <row r="75" spans="1:7" ht="12.75" customHeight="1">
      <c r="A75" s="11"/>
      <c r="B75" s="94"/>
      <c r="C75" s="94"/>
      <c r="D75" s="94"/>
      <c r="E75" s="94"/>
      <c r="F75" s="186"/>
      <c r="G75" s="94"/>
    </row>
    <row r="76" spans="1:7" ht="12.75" customHeight="1">
      <c r="A76" s="13"/>
      <c r="B76" s="94"/>
      <c r="C76" s="94"/>
      <c r="D76" s="94"/>
      <c r="E76" s="94"/>
      <c r="F76" s="19"/>
      <c r="G76" s="94"/>
    </row>
    <row r="77" spans="1:7" ht="12.75" customHeight="1">
      <c r="A77" s="11"/>
      <c r="B77" s="94"/>
      <c r="C77" s="94"/>
      <c r="D77" s="94"/>
      <c r="E77" s="94"/>
      <c r="F77" s="186"/>
      <c r="G77" s="94"/>
    </row>
    <row r="78" spans="1:7" ht="12.75">
      <c r="A78" s="13"/>
      <c r="B78" s="13"/>
      <c r="C78" s="13"/>
      <c r="D78" s="13"/>
      <c r="E78" s="13"/>
      <c r="F78" s="241"/>
      <c r="G78" s="13"/>
    </row>
    <row r="79" spans="1:7" ht="12.75">
      <c r="A79" s="13"/>
      <c r="B79" s="13"/>
      <c r="C79" s="13"/>
      <c r="D79" s="13"/>
      <c r="E79" s="13"/>
      <c r="F79" s="142"/>
      <c r="G79" s="13"/>
    </row>
    <row r="80" ht="12.75">
      <c r="F80" s="142"/>
    </row>
    <row r="81" ht="12.75">
      <c r="F81" s="142"/>
    </row>
    <row r="82" ht="12.75">
      <c r="F82" s="142"/>
    </row>
    <row r="83" ht="12.75">
      <c r="F83" s="142"/>
    </row>
    <row r="84" ht="12.75">
      <c r="F84" s="142"/>
    </row>
    <row r="85" ht="12.75">
      <c r="F85" s="142"/>
    </row>
    <row r="86" ht="12.75">
      <c r="F86" s="142"/>
    </row>
    <row r="87" ht="12.75">
      <c r="F87" s="142"/>
    </row>
  </sheetData>
  <mergeCells count="5">
    <mergeCell ref="A7:F7"/>
    <mergeCell ref="E3:F3"/>
    <mergeCell ref="A4:F4"/>
    <mergeCell ref="A5:F5"/>
    <mergeCell ref="A6:F6"/>
  </mergeCells>
  <printOptions/>
  <pageMargins left="0.98" right="0.49" top="0.58" bottom="0.39" header="0" footer="0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2" bestFit="1" customWidth="1"/>
    <col min="2" max="3" width="11.7109375" style="25" bestFit="1" customWidth="1"/>
    <col min="4" max="4" width="14.00390625" style="25" bestFit="1" customWidth="1"/>
    <col min="5" max="5" width="11.7109375" style="25" bestFit="1" customWidth="1"/>
    <col min="6" max="6" width="10.8515625" style="25" bestFit="1" customWidth="1"/>
    <col min="7" max="7" width="14.00390625" style="25" bestFit="1" customWidth="1"/>
    <col min="8" max="8" width="11.7109375" style="25" bestFit="1" customWidth="1"/>
    <col min="9" max="16384" width="11.421875" style="2" customWidth="1"/>
  </cols>
  <sheetData>
    <row r="1" ht="12.75">
      <c r="H1" s="31" t="s">
        <v>30</v>
      </c>
    </row>
    <row r="2" spans="1:8" ht="15">
      <c r="A2" s="245" t="s">
        <v>403</v>
      </c>
      <c r="B2" s="245"/>
      <c r="C2" s="245"/>
      <c r="D2" s="245"/>
      <c r="E2" s="245"/>
      <c r="F2" s="245"/>
      <c r="G2" s="245"/>
      <c r="H2" s="245"/>
    </row>
    <row r="3" spans="1:8" ht="15">
      <c r="A3" s="245" t="s">
        <v>585</v>
      </c>
      <c r="B3" s="245"/>
      <c r="C3" s="245"/>
      <c r="D3" s="245"/>
      <c r="E3" s="245"/>
      <c r="F3" s="245"/>
      <c r="G3" s="245"/>
      <c r="H3" s="245"/>
    </row>
    <row r="4" spans="1:8" ht="15">
      <c r="A4" s="245" t="s">
        <v>405</v>
      </c>
      <c r="B4" s="245"/>
      <c r="C4" s="245"/>
      <c r="D4" s="245"/>
      <c r="E4" s="245"/>
      <c r="F4" s="245"/>
      <c r="G4" s="245"/>
      <c r="H4" s="245"/>
    </row>
    <row r="5" spans="1:9" ht="15">
      <c r="A5" s="245" t="s">
        <v>490</v>
      </c>
      <c r="B5" s="245"/>
      <c r="C5" s="245"/>
      <c r="D5" s="245"/>
      <c r="E5" s="245"/>
      <c r="F5" s="245"/>
      <c r="G5" s="245"/>
      <c r="H5" s="245"/>
      <c r="I5" s="41"/>
    </row>
    <row r="6" spans="1:9" ht="15">
      <c r="A6" s="105"/>
      <c r="B6" s="105"/>
      <c r="C6" s="105"/>
      <c r="D6" s="105"/>
      <c r="E6" s="105"/>
      <c r="F6" s="105"/>
      <c r="G6" s="105"/>
      <c r="H6" s="105"/>
      <c r="I6" s="41"/>
    </row>
    <row r="7" spans="1:8" ht="12.75">
      <c r="A7" s="3" t="s">
        <v>31</v>
      </c>
      <c r="B7" s="26" t="s">
        <v>32</v>
      </c>
      <c r="C7" s="26" t="s">
        <v>32</v>
      </c>
      <c r="D7" s="26" t="s">
        <v>32</v>
      </c>
      <c r="E7" s="26" t="s">
        <v>33</v>
      </c>
      <c r="F7" s="26" t="s">
        <v>33</v>
      </c>
      <c r="G7" s="26" t="s">
        <v>33</v>
      </c>
      <c r="H7" s="26"/>
    </row>
    <row r="8" spans="1:8" ht="12.75">
      <c r="A8" s="3" t="s">
        <v>34</v>
      </c>
      <c r="B8" s="26" t="s">
        <v>177</v>
      </c>
      <c r="C8" s="26" t="s">
        <v>177</v>
      </c>
      <c r="D8" s="26" t="s">
        <v>177</v>
      </c>
      <c r="E8" s="26" t="s">
        <v>179</v>
      </c>
      <c r="F8" s="26" t="s">
        <v>179</v>
      </c>
      <c r="G8" s="26" t="s">
        <v>179</v>
      </c>
      <c r="H8" s="26" t="s">
        <v>20</v>
      </c>
    </row>
    <row r="9" spans="1:8" ht="12.75">
      <c r="A9" s="98" t="s">
        <v>176</v>
      </c>
      <c r="B9" s="104" t="s">
        <v>178</v>
      </c>
      <c r="C9" s="104" t="s">
        <v>426</v>
      </c>
      <c r="D9" s="104" t="s">
        <v>509</v>
      </c>
      <c r="E9" s="104" t="s">
        <v>178</v>
      </c>
      <c r="F9" s="104" t="s">
        <v>426</v>
      </c>
      <c r="G9" s="104" t="s">
        <v>509</v>
      </c>
      <c r="H9" s="104" t="s">
        <v>180</v>
      </c>
    </row>
    <row r="10" spans="1:8" ht="12.75">
      <c r="A10" s="3"/>
      <c r="B10" s="26"/>
      <c r="C10" s="26"/>
      <c r="D10" s="26"/>
      <c r="E10" s="26"/>
      <c r="F10" s="26"/>
      <c r="G10" s="26"/>
      <c r="H10" s="26"/>
    </row>
    <row r="11" spans="1:9" ht="12.75">
      <c r="A11" s="4" t="s">
        <v>503</v>
      </c>
      <c r="B11" s="160"/>
      <c r="C11" s="160"/>
      <c r="D11" s="160"/>
      <c r="E11" s="160">
        <v>25000000</v>
      </c>
      <c r="F11" s="160"/>
      <c r="G11" s="160"/>
      <c r="H11" s="160">
        <f>SUM(B11:G11)</f>
        <v>25000000</v>
      </c>
      <c r="I11" s="117"/>
    </row>
    <row r="12" spans="1:9" ht="12.75">
      <c r="A12" s="4" t="s">
        <v>504</v>
      </c>
      <c r="B12" s="160">
        <v>8936158</v>
      </c>
      <c r="C12" s="160"/>
      <c r="D12" s="160"/>
      <c r="E12" s="160"/>
      <c r="F12" s="160"/>
      <c r="G12" s="160"/>
      <c r="H12" s="160">
        <f aca="true" t="shared" si="0" ref="H12:H24">SUM(B12:G12)</f>
        <v>8936158</v>
      </c>
      <c r="I12" s="117"/>
    </row>
    <row r="13" spans="1:9" ht="12.75">
      <c r="A13" s="4" t="s">
        <v>504</v>
      </c>
      <c r="B13" s="160">
        <v>3441303</v>
      </c>
      <c r="C13" s="160"/>
      <c r="D13" s="160"/>
      <c r="E13" s="160"/>
      <c r="F13" s="160"/>
      <c r="G13" s="160"/>
      <c r="H13" s="160">
        <f t="shared" si="0"/>
        <v>3441303</v>
      </c>
      <c r="I13" s="117"/>
    </row>
    <row r="14" spans="1:9" ht="12.75">
      <c r="A14" s="4" t="s">
        <v>504</v>
      </c>
      <c r="B14" s="160"/>
      <c r="C14" s="160">
        <v>4740363</v>
      </c>
      <c r="D14" s="160"/>
      <c r="E14" s="160"/>
      <c r="F14" s="160"/>
      <c r="G14" s="160"/>
      <c r="H14" s="160">
        <f t="shared" si="0"/>
        <v>4740363</v>
      </c>
      <c r="I14" s="117"/>
    </row>
    <row r="15" spans="1:9" ht="12.75">
      <c r="A15" s="4" t="s">
        <v>504</v>
      </c>
      <c r="B15" s="160"/>
      <c r="C15" s="160">
        <v>11376871</v>
      </c>
      <c r="D15" s="160"/>
      <c r="E15" s="160"/>
      <c r="F15" s="160"/>
      <c r="G15" s="160"/>
      <c r="H15" s="160">
        <f t="shared" si="0"/>
        <v>11376871</v>
      </c>
      <c r="I15" s="117"/>
    </row>
    <row r="16" spans="1:9" ht="12.75">
      <c r="A16" s="4" t="s">
        <v>504</v>
      </c>
      <c r="B16" s="160"/>
      <c r="C16" s="160">
        <v>29319693</v>
      </c>
      <c r="D16" s="160"/>
      <c r="E16" s="160"/>
      <c r="F16" s="160"/>
      <c r="G16" s="160"/>
      <c r="H16" s="160">
        <f t="shared" si="0"/>
        <v>29319693</v>
      </c>
      <c r="I16" s="117"/>
    </row>
    <row r="17" spans="1:9" ht="12.75">
      <c r="A17" s="4" t="s">
        <v>504</v>
      </c>
      <c r="B17" s="160"/>
      <c r="C17" s="160">
        <v>4342487</v>
      </c>
      <c r="D17" s="160"/>
      <c r="E17" s="160"/>
      <c r="F17" s="160"/>
      <c r="G17" s="160"/>
      <c r="H17" s="160">
        <f t="shared" si="0"/>
        <v>4342487</v>
      </c>
      <c r="I17" s="117"/>
    </row>
    <row r="18" spans="1:9" ht="12.75">
      <c r="A18" s="4" t="s">
        <v>504</v>
      </c>
      <c r="B18" s="160"/>
      <c r="C18" s="160">
        <v>61856092</v>
      </c>
      <c r="D18" s="160"/>
      <c r="E18" s="160"/>
      <c r="F18" s="160"/>
      <c r="G18" s="160"/>
      <c r="H18" s="160">
        <f t="shared" si="0"/>
        <v>61856092</v>
      </c>
      <c r="I18" s="117"/>
    </row>
    <row r="19" spans="1:9" ht="12.75">
      <c r="A19" s="4" t="s">
        <v>504</v>
      </c>
      <c r="B19" s="160"/>
      <c r="C19" s="160">
        <v>42628645</v>
      </c>
      <c r="D19" s="160"/>
      <c r="E19" s="160"/>
      <c r="F19" s="160"/>
      <c r="G19" s="160"/>
      <c r="H19" s="160">
        <f t="shared" si="0"/>
        <v>42628645</v>
      </c>
      <c r="I19" s="117"/>
    </row>
    <row r="20" spans="1:9" ht="12.75">
      <c r="A20" s="4" t="s">
        <v>506</v>
      </c>
      <c r="B20" s="160"/>
      <c r="C20" s="160"/>
      <c r="D20" s="160"/>
      <c r="E20" s="160"/>
      <c r="F20" s="160"/>
      <c r="G20" s="160">
        <v>1012204.21</v>
      </c>
      <c r="H20" s="160">
        <f t="shared" si="0"/>
        <v>1012204.21</v>
      </c>
      <c r="I20" s="117"/>
    </row>
    <row r="21" spans="1:9" ht="12.75">
      <c r="A21" s="4" t="s">
        <v>508</v>
      </c>
      <c r="B21" s="160"/>
      <c r="C21" s="160">
        <v>2395948.49</v>
      </c>
      <c r="D21" s="160"/>
      <c r="E21" s="160"/>
      <c r="F21" s="160"/>
      <c r="G21" s="160"/>
      <c r="H21" s="160">
        <f t="shared" si="0"/>
        <v>2395948.49</v>
      </c>
      <c r="I21" s="117"/>
    </row>
    <row r="22" spans="1:9" ht="12.75">
      <c r="A22" s="4" t="s">
        <v>508</v>
      </c>
      <c r="B22" s="160"/>
      <c r="C22" s="160">
        <v>1696211.31</v>
      </c>
      <c r="D22" s="160"/>
      <c r="E22" s="160"/>
      <c r="F22" s="160"/>
      <c r="G22" s="160"/>
      <c r="H22" s="160">
        <f t="shared" si="0"/>
        <v>1696211.31</v>
      </c>
      <c r="I22" s="117"/>
    </row>
    <row r="23" spans="1:9" ht="12.75">
      <c r="A23" s="4" t="s">
        <v>507</v>
      </c>
      <c r="B23" s="160"/>
      <c r="C23" s="160">
        <v>14763000</v>
      </c>
      <c r="D23" s="160"/>
      <c r="E23" s="160"/>
      <c r="F23" s="160"/>
      <c r="G23" s="160"/>
      <c r="H23" s="160">
        <f t="shared" si="0"/>
        <v>14763000</v>
      </c>
      <c r="I23" s="117"/>
    </row>
    <row r="24" spans="1:9" ht="12.75">
      <c r="A24" s="4" t="s">
        <v>505</v>
      </c>
      <c r="B24" s="2"/>
      <c r="C24" s="160"/>
      <c r="D24" s="160"/>
      <c r="E24" s="160">
        <v>20000000</v>
      </c>
      <c r="F24" s="160"/>
      <c r="G24" s="160"/>
      <c r="H24" s="160">
        <f t="shared" si="0"/>
        <v>20000000</v>
      </c>
      <c r="I24" s="117"/>
    </row>
    <row r="25" spans="1:9" ht="6.75" customHeight="1">
      <c r="A25" s="4"/>
      <c r="B25" s="165"/>
      <c r="C25" s="165"/>
      <c r="D25" s="165"/>
      <c r="E25" s="165"/>
      <c r="F25" s="165"/>
      <c r="G25" s="165"/>
      <c r="H25" s="165"/>
      <c r="I25" s="117"/>
    </row>
    <row r="26" spans="1:9" ht="12.75">
      <c r="A26" s="5" t="s">
        <v>492</v>
      </c>
      <c r="B26" s="166">
        <f aca="true" t="shared" si="1" ref="B26:H26">SUM(B11:B24)</f>
        <v>12377461</v>
      </c>
      <c r="C26" s="166">
        <f t="shared" si="1"/>
        <v>173119310.8</v>
      </c>
      <c r="D26" s="166">
        <f t="shared" si="1"/>
        <v>0</v>
      </c>
      <c r="E26" s="166">
        <f t="shared" si="1"/>
        <v>45000000</v>
      </c>
      <c r="F26" s="166">
        <f t="shared" si="1"/>
        <v>0</v>
      </c>
      <c r="G26" s="166">
        <f t="shared" si="1"/>
        <v>1012204.21</v>
      </c>
      <c r="H26" s="166">
        <f t="shared" si="1"/>
        <v>231508976.01000002</v>
      </c>
      <c r="I26" s="117"/>
    </row>
    <row r="27" spans="1:9" ht="12.75">
      <c r="A27" s="5"/>
      <c r="B27" s="160"/>
      <c r="C27" s="160"/>
      <c r="D27" s="160"/>
      <c r="E27" s="160"/>
      <c r="F27" s="160"/>
      <c r="G27" s="160"/>
      <c r="H27" s="160"/>
      <c r="I27" s="117"/>
    </row>
    <row r="28" spans="1:9" ht="12.75">
      <c r="A28" s="4" t="s">
        <v>531</v>
      </c>
      <c r="B28" s="160"/>
      <c r="C28" s="160">
        <v>26416000</v>
      </c>
      <c r="D28" s="160"/>
      <c r="E28" s="160"/>
      <c r="F28" s="160"/>
      <c r="G28" s="160"/>
      <c r="H28" s="160">
        <f>SUM(B28:G28)</f>
        <v>26416000</v>
      </c>
      <c r="I28" s="117"/>
    </row>
    <row r="29" spans="1:9" ht="12.75">
      <c r="A29" s="4" t="s">
        <v>531</v>
      </c>
      <c r="B29" s="160"/>
      <c r="C29" s="160">
        <v>19716714</v>
      </c>
      <c r="D29" s="160"/>
      <c r="E29" s="160"/>
      <c r="F29" s="160"/>
      <c r="G29" s="160"/>
      <c r="H29" s="160">
        <f aca="true" t="shared" si="2" ref="H29:H37">SUM(B29:G29)</f>
        <v>19716714</v>
      </c>
      <c r="I29" s="117"/>
    </row>
    <row r="30" spans="1:9" ht="12.75">
      <c r="A30" s="4" t="s">
        <v>531</v>
      </c>
      <c r="B30" s="160"/>
      <c r="C30" s="160"/>
      <c r="D30" s="160">
        <v>90000000</v>
      </c>
      <c r="E30" s="160"/>
      <c r="F30" s="160"/>
      <c r="H30" s="160">
        <f>SUM(B30:E30)</f>
        <v>90000000</v>
      </c>
      <c r="I30" s="117"/>
    </row>
    <row r="31" spans="1:9" ht="12.75">
      <c r="A31" s="4" t="s">
        <v>493</v>
      </c>
      <c r="B31" s="160">
        <v>34531643</v>
      </c>
      <c r="C31" s="160"/>
      <c r="D31" s="160"/>
      <c r="E31" s="160"/>
      <c r="F31" s="160"/>
      <c r="G31" s="160"/>
      <c r="H31" s="160">
        <f t="shared" si="2"/>
        <v>34531643</v>
      </c>
      <c r="I31" s="117"/>
    </row>
    <row r="32" spans="1:9" ht="12.75">
      <c r="A32" s="4" t="s">
        <v>493</v>
      </c>
      <c r="B32" s="160">
        <v>1549259</v>
      </c>
      <c r="C32" s="160"/>
      <c r="D32" s="160"/>
      <c r="E32" s="160"/>
      <c r="F32" s="160"/>
      <c r="G32" s="160"/>
      <c r="H32" s="160">
        <f t="shared" si="2"/>
        <v>1549259</v>
      </c>
      <c r="I32" s="117"/>
    </row>
    <row r="33" spans="1:9" ht="12.75">
      <c r="A33" s="4" t="s">
        <v>493</v>
      </c>
      <c r="B33" s="160"/>
      <c r="C33" s="160">
        <v>6389865</v>
      </c>
      <c r="D33" s="160"/>
      <c r="E33" s="160"/>
      <c r="F33" s="160"/>
      <c r="G33" s="160"/>
      <c r="H33" s="160">
        <f t="shared" si="2"/>
        <v>6389865</v>
      </c>
      <c r="I33" s="117"/>
    </row>
    <row r="34" spans="1:9" ht="12.75">
      <c r="A34" s="4" t="s">
        <v>493</v>
      </c>
      <c r="B34" s="160"/>
      <c r="C34" s="160">
        <v>1979399</v>
      </c>
      <c r="D34" s="160"/>
      <c r="E34" s="160"/>
      <c r="F34" s="160"/>
      <c r="G34" s="160"/>
      <c r="H34" s="160">
        <f t="shared" si="2"/>
        <v>1979399</v>
      </c>
      <c r="I34" s="117"/>
    </row>
    <row r="35" spans="1:9" ht="12.75">
      <c r="A35" s="4" t="s">
        <v>493</v>
      </c>
      <c r="B35" s="160"/>
      <c r="C35" s="160">
        <v>17542008</v>
      </c>
      <c r="D35" s="160"/>
      <c r="E35" s="160"/>
      <c r="F35" s="160"/>
      <c r="G35" s="160"/>
      <c r="H35" s="160">
        <f t="shared" si="2"/>
        <v>17542008</v>
      </c>
      <c r="I35" s="117"/>
    </row>
    <row r="36" spans="1:9" ht="12.75">
      <c r="A36" s="4" t="s">
        <v>532</v>
      </c>
      <c r="B36" s="160"/>
      <c r="C36" s="160"/>
      <c r="D36" s="160"/>
      <c r="E36" s="160">
        <v>55000000</v>
      </c>
      <c r="F36" s="160"/>
      <c r="G36" s="160"/>
      <c r="H36" s="160">
        <f t="shared" si="2"/>
        <v>55000000</v>
      </c>
      <c r="I36" s="117"/>
    </row>
    <row r="37" spans="1:9" ht="12.75">
      <c r="A37" s="4" t="s">
        <v>532</v>
      </c>
      <c r="B37" s="160"/>
      <c r="C37" s="160"/>
      <c r="D37" s="160"/>
      <c r="E37" s="160">
        <v>60037048.23</v>
      </c>
      <c r="F37" s="160"/>
      <c r="G37" s="160"/>
      <c r="H37" s="160">
        <f t="shared" si="2"/>
        <v>60037048.23</v>
      </c>
      <c r="I37" s="117"/>
    </row>
    <row r="38" spans="1:9" ht="12.75">
      <c r="A38" s="4" t="s">
        <v>542</v>
      </c>
      <c r="B38" s="2"/>
      <c r="C38" s="2"/>
      <c r="D38" s="160">
        <v>100000000</v>
      </c>
      <c r="E38" s="2"/>
      <c r="F38" s="2"/>
      <c r="G38" s="2"/>
      <c r="H38" s="160">
        <f>SUM(B38:E38)</f>
        <v>100000000</v>
      </c>
      <c r="I38" s="117"/>
    </row>
    <row r="39" spans="1:9" ht="12.75">
      <c r="A39" s="4"/>
      <c r="B39" s="154"/>
      <c r="C39" s="154"/>
      <c r="D39" s="154"/>
      <c r="E39" s="154"/>
      <c r="F39" s="154"/>
      <c r="G39" s="154"/>
      <c r="H39" s="160"/>
      <c r="I39" s="117"/>
    </row>
    <row r="40" spans="1:9" ht="6" customHeight="1">
      <c r="A40" s="4"/>
      <c r="B40" s="165"/>
      <c r="C40" s="165"/>
      <c r="D40" s="165"/>
      <c r="E40" s="165"/>
      <c r="F40" s="165"/>
      <c r="G40" s="165"/>
      <c r="H40" s="165"/>
      <c r="I40" s="117"/>
    </row>
    <row r="41" spans="1:9" ht="12.75">
      <c r="A41" s="5" t="s">
        <v>494</v>
      </c>
      <c r="B41" s="166">
        <f aca="true" t="shared" si="3" ref="B41:H41">SUM(B28:B38)</f>
        <v>36080902</v>
      </c>
      <c r="C41" s="166">
        <f t="shared" si="3"/>
        <v>72043986</v>
      </c>
      <c r="D41" s="166">
        <f t="shared" si="3"/>
        <v>190000000</v>
      </c>
      <c r="E41" s="166">
        <f t="shared" si="3"/>
        <v>115037048.22999999</v>
      </c>
      <c r="F41" s="166">
        <f t="shared" si="3"/>
        <v>0</v>
      </c>
      <c r="G41" s="166">
        <f t="shared" si="3"/>
        <v>0</v>
      </c>
      <c r="H41" s="166">
        <f t="shared" si="3"/>
        <v>413161936.23</v>
      </c>
      <c r="I41" s="117"/>
    </row>
    <row r="42" spans="2:9" ht="12.75">
      <c r="B42" s="160"/>
      <c r="C42" s="160"/>
      <c r="D42" s="160"/>
      <c r="E42" s="160"/>
      <c r="F42" s="160"/>
      <c r="G42" s="160"/>
      <c r="H42" s="160"/>
      <c r="I42" s="117"/>
    </row>
    <row r="43" spans="1:9" ht="12.75">
      <c r="A43" s="4" t="s">
        <v>564</v>
      </c>
      <c r="B43" s="160"/>
      <c r="C43" s="160"/>
      <c r="D43" s="160"/>
      <c r="E43" s="160"/>
      <c r="F43" s="160"/>
      <c r="G43" s="160">
        <v>100000000</v>
      </c>
      <c r="H43" s="160">
        <f aca="true" t="shared" si="4" ref="H43:H50">SUM(B43:G43)</f>
        <v>100000000</v>
      </c>
      <c r="I43" s="117"/>
    </row>
    <row r="44" spans="1:9" ht="12.75">
      <c r="A44" s="4" t="s">
        <v>495</v>
      </c>
      <c r="B44" s="160">
        <v>116802331</v>
      </c>
      <c r="C44" s="160"/>
      <c r="D44" s="117"/>
      <c r="E44" s="160"/>
      <c r="F44" s="160"/>
      <c r="G44" s="160"/>
      <c r="H44" s="160">
        <f t="shared" si="4"/>
        <v>116802331</v>
      </c>
      <c r="I44" s="117"/>
    </row>
    <row r="45" spans="1:9" ht="12.75">
      <c r="A45" s="4" t="s">
        <v>565</v>
      </c>
      <c r="B45" s="160">
        <v>22260418</v>
      </c>
      <c r="D45" s="160"/>
      <c r="E45" s="160"/>
      <c r="F45" s="160"/>
      <c r="G45" s="160"/>
      <c r="H45" s="160">
        <f>SUM(B45:G45)</f>
        <v>22260418</v>
      </c>
      <c r="I45" s="117"/>
    </row>
    <row r="46" spans="1:9" ht="12.75">
      <c r="A46" s="4" t="s">
        <v>565</v>
      </c>
      <c r="B46" s="160">
        <v>14682000</v>
      </c>
      <c r="D46" s="160"/>
      <c r="E46" s="160"/>
      <c r="F46" s="160"/>
      <c r="G46" s="160"/>
      <c r="H46" s="160">
        <f>SUM(B46:G46)</f>
        <v>14682000</v>
      </c>
      <c r="I46" s="117"/>
    </row>
    <row r="47" spans="1:9" ht="12.75">
      <c r="A47" s="4" t="s">
        <v>565</v>
      </c>
      <c r="B47" s="160"/>
      <c r="C47" s="160"/>
      <c r="D47" s="160"/>
      <c r="E47" s="160"/>
      <c r="F47" s="160">
        <v>15000000</v>
      </c>
      <c r="G47" s="160"/>
      <c r="H47" s="160">
        <f t="shared" si="4"/>
        <v>15000000</v>
      </c>
      <c r="I47" s="117"/>
    </row>
    <row r="48" spans="1:9" ht="12.75">
      <c r="A48" s="4" t="s">
        <v>566</v>
      </c>
      <c r="B48" s="160"/>
      <c r="C48" s="160">
        <v>4419855.27</v>
      </c>
      <c r="D48" s="160"/>
      <c r="E48" s="160"/>
      <c r="F48" s="160"/>
      <c r="G48" s="160"/>
      <c r="H48" s="160">
        <f t="shared" si="4"/>
        <v>4419855.27</v>
      </c>
      <c r="I48" s="117"/>
    </row>
    <row r="49" spans="1:9" ht="12.75">
      <c r="A49" s="4" t="s">
        <v>566</v>
      </c>
      <c r="B49" s="160"/>
      <c r="C49" s="160">
        <v>2895198.06</v>
      </c>
      <c r="D49" s="160"/>
      <c r="E49" s="160"/>
      <c r="F49" s="160"/>
      <c r="G49" s="160"/>
      <c r="H49" s="160">
        <f t="shared" si="4"/>
        <v>2895198.06</v>
      </c>
      <c r="I49" s="117"/>
    </row>
    <row r="50" spans="1:9" ht="12.75">
      <c r="A50" s="4" t="s">
        <v>566</v>
      </c>
      <c r="B50" s="160"/>
      <c r="C50" s="160"/>
      <c r="D50" s="160"/>
      <c r="E50" s="160">
        <v>30000000</v>
      </c>
      <c r="F50" s="160"/>
      <c r="G50" s="160"/>
      <c r="H50" s="160">
        <f t="shared" si="4"/>
        <v>30000000</v>
      </c>
      <c r="I50" s="117"/>
    </row>
    <row r="51" spans="1:9" ht="12.75">
      <c r="A51" s="4"/>
      <c r="B51" s="157"/>
      <c r="C51" s="157"/>
      <c r="D51" s="157"/>
      <c r="E51" s="157"/>
      <c r="F51" s="157"/>
      <c r="G51" s="157"/>
      <c r="H51" s="157"/>
      <c r="I51" s="117"/>
    </row>
    <row r="52" spans="1:9" ht="6" customHeight="1">
      <c r="A52" s="4"/>
      <c r="B52" s="160"/>
      <c r="C52" s="160"/>
      <c r="D52" s="160"/>
      <c r="E52" s="160"/>
      <c r="F52" s="160"/>
      <c r="G52" s="160"/>
      <c r="H52" s="160"/>
      <c r="I52" s="117"/>
    </row>
    <row r="53" spans="1:9" ht="12.75" customHeight="1">
      <c r="A53" s="5" t="s">
        <v>496</v>
      </c>
      <c r="B53" s="166">
        <f aca="true" t="shared" si="5" ref="B53:H53">SUM(B43:B50)</f>
        <v>153744749</v>
      </c>
      <c r="C53" s="166">
        <f t="shared" si="5"/>
        <v>7315053.33</v>
      </c>
      <c r="D53" s="166">
        <f t="shared" si="5"/>
        <v>0</v>
      </c>
      <c r="E53" s="166">
        <f t="shared" si="5"/>
        <v>30000000</v>
      </c>
      <c r="F53" s="166">
        <f t="shared" si="5"/>
        <v>15000000</v>
      </c>
      <c r="G53" s="166">
        <f t="shared" si="5"/>
        <v>100000000</v>
      </c>
      <c r="H53" s="166">
        <f t="shared" si="5"/>
        <v>306059802.33</v>
      </c>
      <c r="I53" s="117"/>
    </row>
    <row r="54" spans="2:9" ht="12.75">
      <c r="B54" s="160"/>
      <c r="C54" s="160"/>
      <c r="D54" s="160"/>
      <c r="E54" s="160"/>
      <c r="F54" s="160"/>
      <c r="G54" s="160"/>
      <c r="H54" s="160"/>
      <c r="I54" s="117"/>
    </row>
    <row r="55" spans="1:9" ht="13.5" thickBot="1">
      <c r="A55" s="6" t="s">
        <v>126</v>
      </c>
      <c r="B55" s="168">
        <f aca="true" t="shared" si="6" ref="B55:H55">SUM(B26+B41+B53)</f>
        <v>202203112</v>
      </c>
      <c r="C55" s="168">
        <f t="shared" si="6"/>
        <v>252478350.13000003</v>
      </c>
      <c r="D55" s="168">
        <f t="shared" si="6"/>
        <v>190000000</v>
      </c>
      <c r="E55" s="168">
        <f t="shared" si="6"/>
        <v>190037048.23</v>
      </c>
      <c r="F55" s="168">
        <f t="shared" si="6"/>
        <v>15000000</v>
      </c>
      <c r="G55" s="168">
        <f t="shared" si="6"/>
        <v>101012204.21</v>
      </c>
      <c r="H55" s="168">
        <f t="shared" si="6"/>
        <v>950730714.5699999</v>
      </c>
      <c r="I55" s="117"/>
    </row>
    <row r="56" ht="13.5" thickTop="1"/>
  </sheetData>
  <mergeCells count="4">
    <mergeCell ref="A2:H2"/>
    <mergeCell ref="A3:H3"/>
    <mergeCell ref="A4:H4"/>
    <mergeCell ref="A5:H5"/>
  </mergeCells>
  <printOptions/>
  <pageMargins left="0.48" right="0.21" top="0.58" bottom="0.98425196850393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3" sqref="A3:F3"/>
    </sheetView>
  </sheetViews>
  <sheetFormatPr defaultColWidth="9.140625" defaultRowHeight="12.75"/>
  <cols>
    <col min="1" max="1" width="33.8515625" style="2" customWidth="1"/>
    <col min="2" max="4" width="10.8515625" style="25" bestFit="1" customWidth="1"/>
    <col min="5" max="5" width="13.57421875" style="25" customWidth="1"/>
    <col min="6" max="6" width="6.57421875" style="2" customWidth="1"/>
    <col min="7" max="7" width="2.140625" style="2" customWidth="1"/>
    <col min="8" max="8" width="12.7109375" style="2" bestFit="1" customWidth="1"/>
    <col min="9" max="16384" width="11.421875" style="2" customWidth="1"/>
  </cols>
  <sheetData>
    <row r="1" spans="1:6" ht="12.75">
      <c r="A1" s="106"/>
      <c r="B1" s="107"/>
      <c r="C1" s="107"/>
      <c r="D1" s="107"/>
      <c r="E1" s="248" t="s">
        <v>5</v>
      </c>
      <c r="F1" s="248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406</v>
      </c>
      <c r="B4" s="245"/>
      <c r="C4" s="245"/>
      <c r="D4" s="245"/>
      <c r="E4" s="245"/>
      <c r="F4" s="245"/>
    </row>
    <row r="5" spans="1:6" ht="15">
      <c r="A5" s="245" t="s">
        <v>490</v>
      </c>
      <c r="B5" s="245"/>
      <c r="C5" s="245"/>
      <c r="D5" s="245"/>
      <c r="E5" s="245"/>
      <c r="F5" s="245"/>
    </row>
    <row r="6" spans="1:6" ht="15">
      <c r="A6" s="105"/>
      <c r="B6" s="105"/>
      <c r="C6" s="105"/>
      <c r="D6" s="105"/>
      <c r="E6" s="105"/>
      <c r="F6" s="105"/>
    </row>
    <row r="7" spans="1:6" ht="8.25" customHeight="1">
      <c r="A7" s="19"/>
      <c r="B7" s="19"/>
      <c r="C7" s="19"/>
      <c r="D7" s="19"/>
      <c r="E7" s="19"/>
      <c r="F7" s="19"/>
    </row>
    <row r="8" spans="1:6" ht="8.25" customHeight="1">
      <c r="A8" s="19"/>
      <c r="B8" s="19"/>
      <c r="C8" s="19"/>
      <c r="D8" s="19"/>
      <c r="E8" s="19"/>
      <c r="F8" s="19"/>
    </row>
    <row r="9" spans="1:6" ht="12.75">
      <c r="A9" s="83"/>
      <c r="B9" s="83"/>
      <c r="C9" s="83"/>
      <c r="D9" s="83"/>
      <c r="E9" s="83"/>
      <c r="F9" s="3"/>
    </row>
    <row r="10" spans="1:6" ht="12.75">
      <c r="A10" s="108" t="s">
        <v>19</v>
      </c>
      <c r="B10" s="109" t="s">
        <v>487</v>
      </c>
      <c r="C10" s="109" t="s">
        <v>488</v>
      </c>
      <c r="D10" s="109" t="s">
        <v>489</v>
      </c>
      <c r="E10" s="108" t="s">
        <v>20</v>
      </c>
      <c r="F10" s="98" t="s">
        <v>21</v>
      </c>
    </row>
    <row r="11" spans="1:6" ht="12.75">
      <c r="A11" s="83"/>
      <c r="B11" s="83"/>
      <c r="C11" s="83"/>
      <c r="D11" s="83"/>
      <c r="E11" s="83"/>
      <c r="F11" s="3"/>
    </row>
    <row r="12" spans="1:6" ht="6" customHeight="1">
      <c r="A12" s="3"/>
      <c r="B12" s="26"/>
      <c r="C12" s="26"/>
      <c r="D12" s="26"/>
      <c r="E12" s="26"/>
      <c r="F12" s="3"/>
    </row>
    <row r="13" spans="1:6" ht="12.75">
      <c r="A13" s="9" t="s">
        <v>35</v>
      </c>
      <c r="B13" s="160">
        <v>435715</v>
      </c>
      <c r="C13" s="160">
        <v>112075</v>
      </c>
      <c r="D13" s="160">
        <v>301190</v>
      </c>
      <c r="E13" s="155">
        <f aca="true" t="shared" si="0" ref="E13:E32">SUM(B13:D13)</f>
        <v>848980</v>
      </c>
      <c r="F13" s="161">
        <f aca="true" t="shared" si="1" ref="F13:F32">(E13/$E$51*100)</f>
        <v>4.051550025456646</v>
      </c>
    </row>
    <row r="14" spans="1:6" ht="12.75">
      <c r="A14" s="9" t="s">
        <v>36</v>
      </c>
      <c r="B14" s="155">
        <v>6530</v>
      </c>
      <c r="C14" s="155">
        <v>2025</v>
      </c>
      <c r="D14" s="155">
        <v>1340</v>
      </c>
      <c r="E14" s="155">
        <f t="shared" si="0"/>
        <v>9895</v>
      </c>
      <c r="F14" s="161">
        <f t="shared" si="1"/>
        <v>0.0472214745952714</v>
      </c>
    </row>
    <row r="15" spans="1:6" ht="12.75">
      <c r="A15" s="9" t="s">
        <v>37</v>
      </c>
      <c r="B15" s="155">
        <v>3083252</v>
      </c>
      <c r="C15" s="155">
        <v>2031722</v>
      </c>
      <c r="D15" s="155">
        <v>3486346</v>
      </c>
      <c r="E15" s="155">
        <f t="shared" si="0"/>
        <v>8601320</v>
      </c>
      <c r="F15" s="161">
        <f t="shared" si="1"/>
        <v>41.04770226031327</v>
      </c>
    </row>
    <row r="16" spans="1:6" ht="12.75">
      <c r="A16" s="9" t="s">
        <v>38</v>
      </c>
      <c r="B16" s="155">
        <v>148183</v>
      </c>
      <c r="C16" s="155">
        <v>86283</v>
      </c>
      <c r="D16" s="155">
        <v>48614</v>
      </c>
      <c r="E16" s="155">
        <f t="shared" si="0"/>
        <v>283080</v>
      </c>
      <c r="F16" s="161">
        <f t="shared" si="1"/>
        <v>1.3509302706851367</v>
      </c>
    </row>
    <row r="17" spans="1:6" ht="12.75">
      <c r="A17" s="9" t="s">
        <v>39</v>
      </c>
      <c r="B17" s="155">
        <v>35345</v>
      </c>
      <c r="C17" s="155">
        <v>15696</v>
      </c>
      <c r="D17" s="155">
        <v>11574</v>
      </c>
      <c r="E17" s="155">
        <f t="shared" si="0"/>
        <v>62615</v>
      </c>
      <c r="F17" s="161">
        <f t="shared" si="1"/>
        <v>0.2988148187754339</v>
      </c>
    </row>
    <row r="18" spans="1:6" ht="12.75">
      <c r="A18" s="9" t="s">
        <v>40</v>
      </c>
      <c r="B18" s="155">
        <v>161922</v>
      </c>
      <c r="C18" s="155">
        <v>128431</v>
      </c>
      <c r="D18" s="155">
        <v>137278</v>
      </c>
      <c r="E18" s="155">
        <f t="shared" si="0"/>
        <v>427631</v>
      </c>
      <c r="F18" s="161">
        <f t="shared" si="1"/>
        <v>2.0407646692926233</v>
      </c>
    </row>
    <row r="19" spans="1:6" ht="12.75">
      <c r="A19" s="8" t="s">
        <v>41</v>
      </c>
      <c r="B19" s="155">
        <f>75261+11125</f>
        <v>86386</v>
      </c>
      <c r="C19" s="155">
        <f>17139+9374+4767+296</f>
        <v>31576</v>
      </c>
      <c r="D19" s="155">
        <f>426537+10829</f>
        <v>437366</v>
      </c>
      <c r="E19" s="155">
        <f t="shared" si="0"/>
        <v>555328</v>
      </c>
      <c r="F19" s="161">
        <f t="shared" si="1"/>
        <v>2.6501674627633025</v>
      </c>
    </row>
    <row r="20" spans="1:6" ht="12.75">
      <c r="A20" s="8" t="s">
        <v>209</v>
      </c>
      <c r="B20" s="155">
        <f>160512+112233</f>
        <v>272745</v>
      </c>
      <c r="C20" s="155">
        <f>8388+627</f>
        <v>9015</v>
      </c>
      <c r="D20" s="155">
        <f>247665+114114</f>
        <v>361779</v>
      </c>
      <c r="E20" s="155">
        <f t="shared" si="0"/>
        <v>643539</v>
      </c>
      <c r="F20" s="161">
        <f t="shared" si="1"/>
        <v>3.071132949930911</v>
      </c>
    </row>
    <row r="21" spans="1:6" ht="12.75">
      <c r="A21" s="8" t="s">
        <v>42</v>
      </c>
      <c r="B21" s="155">
        <f>188+3196</f>
        <v>3384</v>
      </c>
      <c r="C21" s="155">
        <f>21432+21056</f>
        <v>42488</v>
      </c>
      <c r="D21" s="155">
        <f>1316+564</f>
        <v>1880</v>
      </c>
      <c r="E21" s="155">
        <f t="shared" si="0"/>
        <v>47752</v>
      </c>
      <c r="F21" s="161">
        <f t="shared" si="1"/>
        <v>0.22788477563147044</v>
      </c>
    </row>
    <row r="22" spans="1:6" ht="12.75">
      <c r="A22" s="8" t="s">
        <v>43</v>
      </c>
      <c r="B22" s="155">
        <f>54251+43434</f>
        <v>97685</v>
      </c>
      <c r="C22" s="155">
        <f>18484+4188+5371</f>
        <v>28043</v>
      </c>
      <c r="D22" s="155">
        <f>74849+17682</f>
        <v>92531</v>
      </c>
      <c r="E22" s="155">
        <f t="shared" si="0"/>
        <v>218259</v>
      </c>
      <c r="F22" s="161">
        <f t="shared" si="1"/>
        <v>1.0415878548448045</v>
      </c>
    </row>
    <row r="23" spans="1:6" ht="12.75">
      <c r="A23" s="9" t="s">
        <v>44</v>
      </c>
      <c r="B23" s="155">
        <f>115954+59138</f>
        <v>175092</v>
      </c>
      <c r="C23" s="155">
        <f>45625+20714+19643</f>
        <v>85982</v>
      </c>
      <c r="D23" s="155">
        <f>207430+89335</f>
        <v>296765</v>
      </c>
      <c r="E23" s="155">
        <f t="shared" si="0"/>
        <v>557839</v>
      </c>
      <c r="F23" s="161">
        <f t="shared" si="1"/>
        <v>2.662150597953674</v>
      </c>
    </row>
    <row r="24" spans="1:6" ht="12.75">
      <c r="A24" s="9" t="s">
        <v>45</v>
      </c>
      <c r="B24" s="155">
        <f>32847+5104</f>
        <v>37951</v>
      </c>
      <c r="C24" s="155">
        <f>5449+7592+1654</f>
        <v>14695</v>
      </c>
      <c r="D24" s="155">
        <f>13990+3346</f>
        <v>17336</v>
      </c>
      <c r="E24" s="155">
        <f t="shared" si="0"/>
        <v>69982</v>
      </c>
      <c r="F24" s="161">
        <f t="shared" si="1"/>
        <v>0.3339720298257992</v>
      </c>
    </row>
    <row r="25" spans="1:6" ht="12.75">
      <c r="A25" s="9" t="s">
        <v>46</v>
      </c>
      <c r="B25" s="155">
        <f>550+1971</f>
        <v>2521</v>
      </c>
      <c r="C25" s="155">
        <f>2757+2675+2850</f>
        <v>8282</v>
      </c>
      <c r="D25" s="155">
        <f>11797+5625</f>
        <v>17422</v>
      </c>
      <c r="E25" s="155">
        <f t="shared" si="0"/>
        <v>28225</v>
      </c>
      <c r="F25" s="161">
        <f t="shared" si="1"/>
        <v>0.134696929808139</v>
      </c>
    </row>
    <row r="26" spans="1:6" ht="12.75">
      <c r="A26" s="9" t="s">
        <v>210</v>
      </c>
      <c r="B26" s="155">
        <f>96142+69867</f>
        <v>166009</v>
      </c>
      <c r="C26" s="155">
        <f>2553+2157</f>
        <v>4710</v>
      </c>
      <c r="D26" s="155">
        <f>163923+60965</f>
        <v>224888</v>
      </c>
      <c r="E26" s="155">
        <f t="shared" si="0"/>
        <v>395607</v>
      </c>
      <c r="F26" s="161">
        <f t="shared" si="1"/>
        <v>1.887937938374081</v>
      </c>
    </row>
    <row r="27" spans="1:6" ht="12.75">
      <c r="A27" s="9" t="s">
        <v>47</v>
      </c>
      <c r="B27" s="155">
        <v>16462</v>
      </c>
      <c r="C27" s="155">
        <v>1311</v>
      </c>
      <c r="D27" s="155">
        <v>23817</v>
      </c>
      <c r="E27" s="155">
        <f t="shared" si="0"/>
        <v>41590</v>
      </c>
      <c r="F27" s="161">
        <f t="shared" si="1"/>
        <v>0.19847813324076177</v>
      </c>
    </row>
    <row r="28" spans="1:6" ht="12.75">
      <c r="A28" s="9" t="s">
        <v>510</v>
      </c>
      <c r="B28" s="155">
        <v>3400</v>
      </c>
      <c r="C28" s="155"/>
      <c r="D28" s="160"/>
      <c r="E28" s="155">
        <f>SUM(B28:D28)</f>
        <v>3400</v>
      </c>
      <c r="F28" s="161">
        <f t="shared" si="1"/>
        <v>0.01622567090691488</v>
      </c>
    </row>
    <row r="29" spans="1:6" ht="12.75">
      <c r="A29" s="9" t="s">
        <v>307</v>
      </c>
      <c r="B29" s="155">
        <v>108773.57</v>
      </c>
      <c r="C29" s="155">
        <v>278287.63</v>
      </c>
      <c r="D29" s="155">
        <v>84708</v>
      </c>
      <c r="E29" s="155">
        <f t="shared" si="0"/>
        <v>471769.2</v>
      </c>
      <c r="F29" s="161">
        <f t="shared" si="1"/>
        <v>2.2514034656525026</v>
      </c>
    </row>
    <row r="30" spans="1:6" ht="12.75">
      <c r="A30" s="9" t="s">
        <v>425</v>
      </c>
      <c r="B30" s="155">
        <v>2016.5</v>
      </c>
      <c r="C30" s="155">
        <v>1345.5</v>
      </c>
      <c r="D30" s="155">
        <v>310.5</v>
      </c>
      <c r="E30" s="155">
        <f>SUM(B30:D30)</f>
        <v>3672.5</v>
      </c>
      <c r="F30" s="161">
        <f t="shared" si="1"/>
        <v>0.01752611070754262</v>
      </c>
    </row>
    <row r="31" spans="1:6" ht="12.75">
      <c r="A31" s="9" t="s">
        <v>428</v>
      </c>
      <c r="B31" s="155">
        <v>2600</v>
      </c>
      <c r="C31" s="155">
        <v>2420</v>
      </c>
      <c r="D31" s="155">
        <v>1945</v>
      </c>
      <c r="E31" s="155">
        <f>SUM(B31:D31)</f>
        <v>6965</v>
      </c>
      <c r="F31" s="161">
        <f t="shared" si="1"/>
        <v>0.033238764078430044</v>
      </c>
    </row>
    <row r="32" spans="1:7" ht="12.75">
      <c r="A32" s="9" t="s">
        <v>48</v>
      </c>
      <c r="B32" s="155">
        <v>1826632.74</v>
      </c>
      <c r="C32" s="155">
        <v>1673366.63</v>
      </c>
      <c r="D32" s="155">
        <v>3202100.62</v>
      </c>
      <c r="E32" s="155">
        <f t="shared" si="0"/>
        <v>6702099.99</v>
      </c>
      <c r="F32" s="161">
        <f t="shared" si="1"/>
        <v>31.984137889111036</v>
      </c>
      <c r="G32" s="14" t="s">
        <v>23</v>
      </c>
    </row>
    <row r="33" spans="1:8" ht="12.75">
      <c r="A33" s="10" t="s">
        <v>272</v>
      </c>
      <c r="B33" s="169">
        <f>SUM(B13:B32)</f>
        <v>6672604.8100000005</v>
      </c>
      <c r="C33" s="169">
        <f>SUM(C13:C32)</f>
        <v>4557753.76</v>
      </c>
      <c r="D33" s="169">
        <f>SUM(D13:D32)</f>
        <v>8749190.120000001</v>
      </c>
      <c r="E33" s="169">
        <f>SUM(E13:E32)</f>
        <v>19979548.689999998</v>
      </c>
      <c r="F33" s="170">
        <f>SUM(F13:F32)</f>
        <v>95.34752409194776</v>
      </c>
      <c r="H33" s="25"/>
    </row>
    <row r="34" spans="2:6" ht="12.75">
      <c r="B34" s="171"/>
      <c r="C34" s="171"/>
      <c r="D34" s="117"/>
      <c r="E34" s="171"/>
      <c r="F34" s="172"/>
    </row>
    <row r="35" spans="1:6" ht="12.75">
      <c r="A35" s="10" t="s">
        <v>211</v>
      </c>
      <c r="B35" s="171"/>
      <c r="C35" s="171"/>
      <c r="D35" s="117"/>
      <c r="E35" s="171"/>
      <c r="F35" s="172"/>
    </row>
    <row r="36" spans="1:6" ht="12.75">
      <c r="A36" s="2" t="s">
        <v>49</v>
      </c>
      <c r="B36" s="171">
        <v>108511.62</v>
      </c>
      <c r="C36" s="171">
        <v>147447.86</v>
      </c>
      <c r="D36" s="171">
        <v>147078.44</v>
      </c>
      <c r="E36" s="171">
        <f aca="true" t="shared" si="2" ref="E36:E48">SUM(B36:D36)</f>
        <v>403037.92</v>
      </c>
      <c r="F36" s="172">
        <f aca="true" t="shared" si="3" ref="F36:F48">E36/$E$51*100</f>
        <v>1.9234001920374963</v>
      </c>
    </row>
    <row r="37" spans="1:6" ht="12.75">
      <c r="A37" s="2" t="s">
        <v>142</v>
      </c>
      <c r="B37" s="171">
        <v>7547.19</v>
      </c>
      <c r="C37" s="171">
        <v>7842.86</v>
      </c>
      <c r="D37" s="171">
        <v>7885.45</v>
      </c>
      <c r="E37" s="171">
        <f t="shared" si="2"/>
        <v>23275.5</v>
      </c>
      <c r="F37" s="172">
        <f t="shared" si="3"/>
        <v>0.1110766479982051</v>
      </c>
    </row>
    <row r="38" spans="1:6" ht="12.75">
      <c r="A38" s="2" t="s">
        <v>347</v>
      </c>
      <c r="B38" s="171">
        <v>111.43</v>
      </c>
      <c r="C38" s="171">
        <v>109.22</v>
      </c>
      <c r="D38" s="171">
        <v>101.88</v>
      </c>
      <c r="E38" s="171">
        <f t="shared" si="2"/>
        <v>322.53</v>
      </c>
      <c r="F38" s="172">
        <f t="shared" si="3"/>
        <v>0.0015391957757668402</v>
      </c>
    </row>
    <row r="39" spans="1:6" ht="12.75">
      <c r="A39" s="2" t="s">
        <v>141</v>
      </c>
      <c r="B39" s="171">
        <v>7821.72</v>
      </c>
      <c r="C39" s="171">
        <v>8136.18</v>
      </c>
      <c r="D39" s="171">
        <v>8177.6</v>
      </c>
      <c r="E39" s="171">
        <f t="shared" si="2"/>
        <v>24135.5</v>
      </c>
      <c r="F39" s="172">
        <f t="shared" si="3"/>
        <v>0.11518078828642475</v>
      </c>
    </row>
    <row r="40" spans="1:6" ht="12.75">
      <c r="A40" s="2" t="s">
        <v>257</v>
      </c>
      <c r="B40" s="171">
        <v>11039.57</v>
      </c>
      <c r="C40" s="171"/>
      <c r="E40" s="171">
        <f t="shared" si="2"/>
        <v>11039.57</v>
      </c>
      <c r="F40" s="172">
        <f t="shared" si="3"/>
        <v>0.05268365581583834</v>
      </c>
    </row>
    <row r="41" spans="1:6" ht="12.75">
      <c r="A41" s="2" t="s">
        <v>292</v>
      </c>
      <c r="B41" s="171">
        <v>19482</v>
      </c>
      <c r="C41" s="171">
        <v>19913.41</v>
      </c>
      <c r="D41" s="171">
        <v>18794.71</v>
      </c>
      <c r="E41" s="171">
        <f t="shared" si="2"/>
        <v>58190.12</v>
      </c>
      <c r="F41" s="172">
        <f t="shared" si="3"/>
        <v>0.27769815798643704</v>
      </c>
    </row>
    <row r="42" spans="1:6" ht="12.75">
      <c r="A42" s="2" t="s">
        <v>358</v>
      </c>
      <c r="B42" s="171">
        <v>15373.59</v>
      </c>
      <c r="C42" s="171">
        <v>15980.03</v>
      </c>
      <c r="D42" s="171">
        <v>16071.87</v>
      </c>
      <c r="E42" s="171">
        <f>SUM(B42:D42)</f>
        <v>47425.490000000005</v>
      </c>
      <c r="F42" s="172">
        <f t="shared" si="3"/>
        <v>0.22632658627623026</v>
      </c>
    </row>
    <row r="43" spans="1:6" ht="12.75">
      <c r="A43" s="2" t="s">
        <v>359</v>
      </c>
      <c r="B43" s="167">
        <v>34346.62</v>
      </c>
      <c r="C43" s="167">
        <v>34677.54</v>
      </c>
      <c r="D43" s="167">
        <v>34879.7</v>
      </c>
      <c r="E43" s="171">
        <f t="shared" si="2"/>
        <v>103903.86</v>
      </c>
      <c r="F43" s="172">
        <f t="shared" si="3"/>
        <v>0.49585583479945794</v>
      </c>
    </row>
    <row r="44" spans="1:6" ht="12.75">
      <c r="A44" s="2" t="s">
        <v>439</v>
      </c>
      <c r="B44" s="167">
        <v>64951.22</v>
      </c>
      <c r="C44" s="167">
        <v>61718.07</v>
      </c>
      <c r="D44" s="167">
        <v>59504.97</v>
      </c>
      <c r="E44" s="171">
        <f>SUM(B44:D44)</f>
        <v>186174.26</v>
      </c>
      <c r="F44" s="172">
        <f t="shared" si="3"/>
        <v>0.888471257087767</v>
      </c>
    </row>
    <row r="45" spans="1:6" ht="12.75">
      <c r="A45" s="2" t="s">
        <v>388</v>
      </c>
      <c r="B45" s="167">
        <v>1558.96</v>
      </c>
      <c r="C45" s="167">
        <v>1614.49</v>
      </c>
      <c r="D45" s="167">
        <v>1616.55</v>
      </c>
      <c r="E45" s="171">
        <f t="shared" si="2"/>
        <v>4790</v>
      </c>
      <c r="F45" s="172">
        <f t="shared" si="3"/>
        <v>0.022859106954153614</v>
      </c>
    </row>
    <row r="46" spans="1:6" ht="12.75">
      <c r="A46" s="2" t="s">
        <v>528</v>
      </c>
      <c r="B46" s="167"/>
      <c r="C46" s="167">
        <v>11540.43</v>
      </c>
      <c r="D46" s="167">
        <v>6194.88</v>
      </c>
      <c r="E46" s="171">
        <f>SUM(B46:D46)</f>
        <v>17735.31</v>
      </c>
      <c r="F46" s="172">
        <f t="shared" si="3"/>
        <v>0.08463744220356371</v>
      </c>
    </row>
    <row r="47" spans="1:6" ht="12.75">
      <c r="A47" s="2" t="s">
        <v>512</v>
      </c>
      <c r="B47" s="167">
        <f>1987.21+1902.68</f>
        <v>3889.8900000000003</v>
      </c>
      <c r="C47" s="167">
        <f>1728.27+320.56</f>
        <v>2048.83</v>
      </c>
      <c r="D47" s="167">
        <v>2567.08</v>
      </c>
      <c r="E47" s="171">
        <f>SUM(B47:D47)</f>
        <v>8505.8</v>
      </c>
      <c r="F47" s="172">
        <f t="shared" si="3"/>
        <v>0.04059185635295194</v>
      </c>
    </row>
    <row r="48" spans="1:6" ht="12.75">
      <c r="A48" s="2" t="s">
        <v>50</v>
      </c>
      <c r="B48" s="171">
        <f>65.92+277.73+5438.87+13089.98+2558.66+10161.39</f>
        <v>31592.55</v>
      </c>
      <c r="C48" s="171">
        <f>14738.93+26.7+1328.59+527.49+10542.62</f>
        <v>27164.33</v>
      </c>
      <c r="D48" s="171">
        <f>9.21+499.92+181.95+16995.26+9921.63</f>
        <v>27607.969999999994</v>
      </c>
      <c r="E48" s="171">
        <f t="shared" si="2"/>
        <v>86364.85</v>
      </c>
      <c r="F48" s="172">
        <f t="shared" si="3"/>
        <v>0.4121551864779612</v>
      </c>
    </row>
    <row r="49" spans="1:8" ht="12.75">
      <c r="A49" s="10" t="s">
        <v>273</v>
      </c>
      <c r="B49" s="169">
        <f>SUM(B36:B48)</f>
        <v>306226.36</v>
      </c>
      <c r="C49" s="169">
        <f>SUM(C36:C48)</f>
        <v>338193.25</v>
      </c>
      <c r="D49" s="169">
        <f>SUM(D36:D48)</f>
        <v>330481.1</v>
      </c>
      <c r="E49" s="169">
        <f>SUM(E36:E48)</f>
        <v>974900.7100000001</v>
      </c>
      <c r="F49" s="170">
        <f>SUM(F36:F48)</f>
        <v>4.652475908052255</v>
      </c>
      <c r="H49" s="25"/>
    </row>
    <row r="50" spans="2:6" ht="5.25" customHeight="1">
      <c r="B50" s="171"/>
      <c r="C50" s="171"/>
      <c r="D50" s="171"/>
      <c r="E50" s="171"/>
      <c r="F50" s="173"/>
    </row>
    <row r="51" spans="1:6" ht="13.5" thickBot="1">
      <c r="A51" s="6" t="s">
        <v>51</v>
      </c>
      <c r="B51" s="174">
        <f>B33+B49</f>
        <v>6978831.170000001</v>
      </c>
      <c r="C51" s="174">
        <f>C33+C49</f>
        <v>4895947.01</v>
      </c>
      <c r="D51" s="174">
        <f>D33+D49</f>
        <v>9079671.22</v>
      </c>
      <c r="E51" s="174">
        <f>E33+E49</f>
        <v>20954449.4</v>
      </c>
      <c r="F51" s="175">
        <f>F33+F49</f>
        <v>100.00000000000001</v>
      </c>
    </row>
    <row r="52" spans="1:6" ht="13.5" thickTop="1">
      <c r="A52" s="6"/>
      <c r="B52" s="176"/>
      <c r="C52" s="176"/>
      <c r="D52" s="176"/>
      <c r="E52" s="176"/>
      <c r="F52" s="177"/>
    </row>
    <row r="53" ht="12.75">
      <c r="A53" s="10" t="s">
        <v>55</v>
      </c>
    </row>
    <row r="54" spans="1:6" ht="12.75">
      <c r="A54" s="23"/>
      <c r="B54" s="29"/>
      <c r="C54" s="29"/>
      <c r="D54" s="29"/>
      <c r="E54" s="29"/>
      <c r="F54" s="18"/>
    </row>
    <row r="55" ht="12.75">
      <c r="A55" s="14" t="s">
        <v>199</v>
      </c>
    </row>
    <row r="56" spans="2:7" ht="12.75">
      <c r="B56" s="30"/>
      <c r="C56" s="30"/>
      <c r="D56" s="30"/>
      <c r="E56" s="30"/>
      <c r="F56" s="24"/>
      <c r="G56" s="24"/>
    </row>
    <row r="58" spans="1:6" ht="12.75">
      <c r="A58" s="6"/>
      <c r="B58" s="29"/>
      <c r="C58" s="29"/>
      <c r="D58" s="29"/>
      <c r="E58" s="29"/>
      <c r="F58" s="18"/>
    </row>
    <row r="59" spans="1:6" ht="12.75">
      <c r="A59" s="6"/>
      <c r="B59" s="29"/>
      <c r="C59" s="29"/>
      <c r="D59" s="29"/>
      <c r="E59" s="29"/>
      <c r="F59" s="18"/>
    </row>
    <row r="60" spans="1:6" ht="12.75">
      <c r="A60" s="6"/>
      <c r="B60" s="29"/>
      <c r="C60" s="29"/>
      <c r="D60" s="29"/>
      <c r="E60" s="29"/>
      <c r="F60" s="18"/>
    </row>
    <row r="61" spans="1:6" ht="12.75">
      <c r="A61" s="6"/>
      <c r="B61" s="29"/>
      <c r="C61" s="29"/>
      <c r="D61" s="29"/>
      <c r="E61" s="29"/>
      <c r="F61" s="18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6" bottom="0.98425196850393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4">
      <selection activeCell="K16" sqref="K16"/>
    </sheetView>
  </sheetViews>
  <sheetFormatPr defaultColWidth="9.140625" defaultRowHeight="12.75"/>
  <cols>
    <col min="1" max="1" width="33.00390625" style="2" bestFit="1" customWidth="1"/>
    <col min="2" max="2" width="12.00390625" style="25" customWidth="1"/>
    <col min="3" max="3" width="12.421875" style="25" customWidth="1"/>
    <col min="4" max="4" width="12.7109375" style="25" customWidth="1"/>
    <col min="5" max="5" width="11.421875" style="25" customWidth="1"/>
    <col min="6" max="6" width="6.8515625" style="2" bestFit="1" customWidth="1"/>
    <col min="7" max="16384" width="11.421875" style="2" customWidth="1"/>
  </cols>
  <sheetData>
    <row r="1" spans="5:6" ht="12.75">
      <c r="E1" s="246" t="s">
        <v>7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407</v>
      </c>
      <c r="B4" s="245"/>
      <c r="C4" s="245"/>
      <c r="D4" s="245"/>
      <c r="E4" s="245"/>
      <c r="F4" s="245"/>
    </row>
    <row r="5" spans="1:6" ht="15">
      <c r="A5" s="245" t="s">
        <v>490</v>
      </c>
      <c r="B5" s="245"/>
      <c r="C5" s="245"/>
      <c r="D5" s="245"/>
      <c r="E5" s="245"/>
      <c r="F5" s="245"/>
    </row>
    <row r="6" spans="1:6" ht="15">
      <c r="A6" s="105"/>
      <c r="B6" s="105"/>
      <c r="C6" s="105"/>
      <c r="D6" s="105"/>
      <c r="E6" s="105"/>
      <c r="F6" s="105"/>
    </row>
    <row r="7" spans="1:6" ht="15">
      <c r="A7" s="105"/>
      <c r="B7" s="105"/>
      <c r="C7" s="105"/>
      <c r="D7" s="105"/>
      <c r="E7" s="105"/>
      <c r="F7" s="105"/>
    </row>
    <row r="8" spans="1:6" ht="13.5" customHeight="1">
      <c r="A8" s="19"/>
      <c r="B8" s="19"/>
      <c r="C8" s="19"/>
      <c r="D8" s="19"/>
      <c r="E8" s="19"/>
      <c r="F8" s="19"/>
    </row>
    <row r="9" spans="1:6" ht="8.25" customHeight="1">
      <c r="A9" s="19"/>
      <c r="B9" s="19"/>
      <c r="C9" s="19"/>
      <c r="D9" s="19"/>
      <c r="E9" s="19"/>
      <c r="F9" s="19"/>
    </row>
    <row r="10" spans="1:6" ht="12.75">
      <c r="A10" s="83"/>
      <c r="B10" s="83"/>
      <c r="C10" s="83"/>
      <c r="D10" s="83"/>
      <c r="E10" s="83"/>
      <c r="F10" s="3"/>
    </row>
    <row r="11" spans="1:6" ht="12.75">
      <c r="A11" s="108" t="s">
        <v>19</v>
      </c>
      <c r="B11" s="109" t="s">
        <v>487</v>
      </c>
      <c r="C11" s="109" t="s">
        <v>488</v>
      </c>
      <c r="D11" s="109" t="s">
        <v>489</v>
      </c>
      <c r="E11" s="108" t="s">
        <v>20</v>
      </c>
      <c r="F11" s="98" t="s">
        <v>21</v>
      </c>
    </row>
    <row r="12" spans="1:6" ht="12.75">
      <c r="A12" s="83"/>
      <c r="B12" s="83"/>
      <c r="C12" s="83"/>
      <c r="D12" s="83"/>
      <c r="E12" s="83"/>
      <c r="F12" s="3"/>
    </row>
    <row r="13" spans="1:6" ht="6" customHeight="1">
      <c r="A13" s="3"/>
      <c r="B13" s="26"/>
      <c r="C13" s="26"/>
      <c r="D13" s="26"/>
      <c r="E13" s="26"/>
      <c r="F13" s="3"/>
    </row>
    <row r="14" spans="1:6" ht="15" customHeight="1">
      <c r="A14" s="61" t="s">
        <v>387</v>
      </c>
      <c r="B14" s="178">
        <v>300</v>
      </c>
      <c r="C14" s="178"/>
      <c r="D14" s="160"/>
      <c r="E14" s="155">
        <f>SUM(B14:D14)</f>
        <v>300</v>
      </c>
      <c r="F14" s="161">
        <f>(E14/$E$20*100)</f>
        <v>0.01399137591176725</v>
      </c>
    </row>
    <row r="15" spans="1:6" ht="15" customHeight="1">
      <c r="A15" s="8" t="s">
        <v>52</v>
      </c>
      <c r="B15" s="155">
        <v>175158</v>
      </c>
      <c r="C15" s="155">
        <v>719026</v>
      </c>
      <c r="D15" s="155">
        <v>458722</v>
      </c>
      <c r="E15" s="155">
        <f>SUM(B15:D15)</f>
        <v>1352906</v>
      </c>
      <c r="F15" s="161">
        <f>(E15/$E$20*100)</f>
        <v>63.09672139761795</v>
      </c>
    </row>
    <row r="16" spans="1:6" ht="15" customHeight="1">
      <c r="A16" s="8" t="s">
        <v>533</v>
      </c>
      <c r="B16" s="155"/>
      <c r="C16" s="155">
        <v>164446.97</v>
      </c>
      <c r="D16" s="155">
        <v>74</v>
      </c>
      <c r="E16" s="155">
        <f>SUM(B16:D16)</f>
        <v>164520.97</v>
      </c>
      <c r="F16" s="161">
        <f>(E16/$E$20*100)</f>
        <v>7.672915788795276</v>
      </c>
    </row>
    <row r="17" spans="1:6" ht="15" customHeight="1">
      <c r="A17" s="8" t="s">
        <v>53</v>
      </c>
      <c r="B17" s="155">
        <v>298722</v>
      </c>
      <c r="C17" s="155">
        <v>161469</v>
      </c>
      <c r="D17" s="155">
        <v>150979</v>
      </c>
      <c r="E17" s="155">
        <f>SUM(B17:D17)</f>
        <v>611170</v>
      </c>
      <c r="F17" s="161">
        <f>(E17/$E$20*100)</f>
        <v>28.5036973866493</v>
      </c>
    </row>
    <row r="18" spans="1:6" ht="15" customHeight="1">
      <c r="A18" s="2" t="s">
        <v>54</v>
      </c>
      <c r="B18" s="155">
        <f>4144+2035</f>
        <v>6179</v>
      </c>
      <c r="C18" s="155">
        <f>1369+296</f>
        <v>1665</v>
      </c>
      <c r="D18" s="155">
        <f>6623+814</f>
        <v>7437</v>
      </c>
      <c r="E18" s="155">
        <f>SUM(B18:D18)</f>
        <v>15281</v>
      </c>
      <c r="F18" s="161">
        <f>(E18/$E$20*100)</f>
        <v>0.7126740510257179</v>
      </c>
    </row>
    <row r="19" spans="2:6" ht="12.75">
      <c r="B19" s="154"/>
      <c r="C19" s="154"/>
      <c r="D19" s="155"/>
      <c r="E19" s="155"/>
      <c r="F19" s="161"/>
    </row>
    <row r="20" spans="1:6" ht="20.25" customHeight="1" thickBot="1">
      <c r="A20" s="6" t="s">
        <v>207</v>
      </c>
      <c r="B20" s="179">
        <f>SUM(B14:B18)</f>
        <v>480359</v>
      </c>
      <c r="C20" s="179">
        <f>SUM(C14:C18)</f>
        <v>1046606.97</v>
      </c>
      <c r="D20" s="179">
        <f>SUM(D14:D18)</f>
        <v>617212</v>
      </c>
      <c r="E20" s="179">
        <f>SUM(E14:E18)</f>
        <v>2144177.9699999997</v>
      </c>
      <c r="F20" s="179">
        <f>SUM(F14:F18)</f>
        <v>100</v>
      </c>
    </row>
    <row r="21" spans="2:6" ht="13.5" thickTop="1">
      <c r="B21" s="117"/>
      <c r="C21" s="117"/>
      <c r="D21" s="117"/>
      <c r="E21" s="117"/>
      <c r="F21" s="117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58" bottom="0.98425196850393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9" customWidth="1"/>
    <col min="2" max="4" width="13.7109375" style="32" customWidth="1"/>
    <col min="5" max="5" width="14.7109375" style="32" customWidth="1"/>
    <col min="6" max="6" width="9.7109375" style="19" customWidth="1"/>
    <col min="7" max="7" width="2.7109375" style="19" customWidth="1"/>
    <col min="8" max="16384" width="11.421875" style="19" customWidth="1"/>
  </cols>
  <sheetData>
    <row r="1" spans="1:7" ht="12.75">
      <c r="A1" s="2"/>
      <c r="B1" s="25"/>
      <c r="C1" s="25"/>
      <c r="D1" s="25"/>
      <c r="E1" s="246" t="s">
        <v>8</v>
      </c>
      <c r="F1" s="246"/>
      <c r="G1" s="2"/>
    </row>
    <row r="2" spans="1:7" ht="15">
      <c r="A2" s="245" t="s">
        <v>403</v>
      </c>
      <c r="B2" s="245"/>
      <c r="C2" s="245"/>
      <c r="D2" s="245"/>
      <c r="E2" s="245"/>
      <c r="F2" s="245"/>
      <c r="G2" s="2"/>
    </row>
    <row r="3" spans="1:7" ht="15">
      <c r="A3" s="247" t="s">
        <v>585</v>
      </c>
      <c r="B3" s="247"/>
      <c r="C3" s="247"/>
      <c r="D3" s="247"/>
      <c r="E3" s="247"/>
      <c r="F3" s="247"/>
      <c r="G3" s="2"/>
    </row>
    <row r="4" spans="1:7" ht="15">
      <c r="A4" s="245" t="s">
        <v>408</v>
      </c>
      <c r="B4" s="245"/>
      <c r="C4" s="245"/>
      <c r="D4" s="245"/>
      <c r="E4" s="245"/>
      <c r="F4" s="245"/>
      <c r="G4" s="2"/>
    </row>
    <row r="5" spans="1:7" ht="15">
      <c r="A5" s="245" t="s">
        <v>490</v>
      </c>
      <c r="B5" s="245"/>
      <c r="C5" s="245"/>
      <c r="D5" s="245"/>
      <c r="E5" s="245"/>
      <c r="F5" s="245"/>
      <c r="G5" s="2"/>
    </row>
    <row r="6" spans="2:7" ht="8.25" customHeight="1">
      <c r="B6" s="19"/>
      <c r="C6" s="19"/>
      <c r="D6" s="19"/>
      <c r="E6" s="19"/>
      <c r="G6" s="2"/>
    </row>
    <row r="7" spans="2:7" ht="8.25" customHeight="1">
      <c r="B7" s="19"/>
      <c r="C7" s="19"/>
      <c r="D7" s="19"/>
      <c r="E7" s="19"/>
      <c r="G7" s="2"/>
    </row>
    <row r="8" spans="2:7" ht="8.25" customHeight="1">
      <c r="B8" s="19"/>
      <c r="C8" s="19"/>
      <c r="D8" s="19"/>
      <c r="E8" s="19"/>
      <c r="G8" s="2"/>
    </row>
    <row r="9" spans="2:7" ht="8.25" customHeight="1">
      <c r="B9" s="19"/>
      <c r="C9" s="19"/>
      <c r="D9" s="19"/>
      <c r="E9" s="19"/>
      <c r="G9" s="2"/>
    </row>
    <row r="10" spans="1:7" ht="12.75">
      <c r="A10" s="83"/>
      <c r="B10" s="83"/>
      <c r="C10" s="83"/>
      <c r="D10" s="83"/>
      <c r="E10" s="83"/>
      <c r="F10" s="3"/>
      <c r="G10" s="2"/>
    </row>
    <row r="11" spans="1:7" ht="12.75">
      <c r="A11" s="108" t="s">
        <v>19</v>
      </c>
      <c r="B11" s="109" t="s">
        <v>487</v>
      </c>
      <c r="C11" s="109" t="s">
        <v>488</v>
      </c>
      <c r="D11" s="109" t="s">
        <v>489</v>
      </c>
      <c r="E11" s="108" t="s">
        <v>20</v>
      </c>
      <c r="F11" s="98" t="s">
        <v>21</v>
      </c>
      <c r="G11" s="2"/>
    </row>
    <row r="12" spans="1:7" ht="12.75">
      <c r="A12" s="83"/>
      <c r="B12" s="83"/>
      <c r="C12" s="83"/>
      <c r="D12" s="83"/>
      <c r="E12" s="83"/>
      <c r="F12" s="3"/>
      <c r="G12" s="2"/>
    </row>
    <row r="13" spans="1:7" ht="6" customHeight="1">
      <c r="A13" s="3"/>
      <c r="B13" s="26"/>
      <c r="C13" s="26"/>
      <c r="D13" s="26"/>
      <c r="E13" s="26"/>
      <c r="F13" s="3"/>
      <c r="G13" s="2"/>
    </row>
    <row r="14" spans="1:7" ht="12.75" customHeight="1">
      <c r="A14" s="3"/>
      <c r="B14" s="26"/>
      <c r="C14" s="26"/>
      <c r="D14" s="26"/>
      <c r="E14" s="26"/>
      <c r="F14" s="3"/>
      <c r="G14" s="2"/>
    </row>
    <row r="15" spans="1:7" ht="17.25" customHeight="1">
      <c r="A15" s="2" t="s">
        <v>511</v>
      </c>
      <c r="B15" s="155">
        <v>29800</v>
      </c>
      <c r="C15" s="155">
        <v>24000</v>
      </c>
      <c r="D15" s="155">
        <v>153000</v>
      </c>
      <c r="E15" s="155">
        <f>SUM(B15:D15)</f>
        <v>206800</v>
      </c>
      <c r="F15" s="161">
        <f>(E15/$E$21*100)</f>
        <v>4.518937778922721</v>
      </c>
      <c r="G15" s="12"/>
    </row>
    <row r="16" spans="1:7" ht="17.25" customHeight="1">
      <c r="A16" s="2" t="s">
        <v>534</v>
      </c>
      <c r="B16" s="155"/>
      <c r="C16" s="155">
        <v>773910.46</v>
      </c>
      <c r="D16" s="155">
        <v>508093.81</v>
      </c>
      <c r="E16" s="155">
        <f>SUM(B16:D16)</f>
        <v>1282004.27</v>
      </c>
      <c r="F16" s="161">
        <f>(E16/$E$21*100)</f>
        <v>28.01401125939674</v>
      </c>
      <c r="G16" s="12"/>
    </row>
    <row r="17" spans="1:6" ht="17.25" customHeight="1">
      <c r="A17" s="2" t="s">
        <v>56</v>
      </c>
      <c r="B17" s="160">
        <v>288400</v>
      </c>
      <c r="C17" s="160">
        <f>706915.13+250</f>
        <v>707165.13</v>
      </c>
      <c r="D17" s="160">
        <v>94350</v>
      </c>
      <c r="E17" s="155">
        <f>SUM(B17:D17)</f>
        <v>1089915.13</v>
      </c>
      <c r="F17" s="161">
        <f>(E17/$E$21*100)</f>
        <v>23.816531222323352</v>
      </c>
    </row>
    <row r="18" spans="1:7" ht="17.25" customHeight="1">
      <c r="A18" s="2" t="s">
        <v>57</v>
      </c>
      <c r="B18" s="160">
        <f>381000+542524.19</f>
        <v>923524.19</v>
      </c>
      <c r="C18" s="160">
        <f>1067053.1-12000</f>
        <v>1055053.1</v>
      </c>
      <c r="D18" s="160">
        <v>17000</v>
      </c>
      <c r="E18" s="155">
        <f>SUM(B18:D18)</f>
        <v>1995577.29</v>
      </c>
      <c r="F18" s="161">
        <f>(E18/$E$21*100)</f>
        <v>43.606816279212886</v>
      </c>
      <c r="G18" s="12" t="s">
        <v>23</v>
      </c>
    </row>
    <row r="19" spans="1:6" ht="17.25" customHeight="1">
      <c r="A19" s="9" t="s">
        <v>58</v>
      </c>
      <c r="B19" s="160"/>
      <c r="C19" s="160">
        <v>2000</v>
      </c>
      <c r="D19" s="160"/>
      <c r="E19" s="155">
        <f>SUM(B19:D19)</f>
        <v>2000</v>
      </c>
      <c r="F19" s="161">
        <f>(E19/$E$21*100)</f>
        <v>0.043703460144320326</v>
      </c>
    </row>
    <row r="20" spans="1:7" ht="12.75">
      <c r="A20" s="2"/>
      <c r="B20" s="154"/>
      <c r="C20" s="154"/>
      <c r="D20" s="164"/>
      <c r="E20" s="154"/>
      <c r="F20" s="156"/>
      <c r="G20" s="2"/>
    </row>
    <row r="21" spans="1:7" ht="13.5" thickBot="1">
      <c r="A21" s="6" t="s">
        <v>207</v>
      </c>
      <c r="B21" s="179">
        <f>SUM(B15:B19)</f>
        <v>1241724.19</v>
      </c>
      <c r="C21" s="179">
        <f>SUM(C15:C19)</f>
        <v>2562128.69</v>
      </c>
      <c r="D21" s="179">
        <f>SUM(D15:D19)</f>
        <v>772443.81</v>
      </c>
      <c r="E21" s="179">
        <f>SUM(E15:E19)</f>
        <v>4576296.6899999995</v>
      </c>
      <c r="F21" s="180">
        <f>SUM(F15:F19)</f>
        <v>100</v>
      </c>
      <c r="G21" s="2"/>
    </row>
    <row r="22" spans="1:7" ht="13.5" thickTop="1">
      <c r="A22" s="2"/>
      <c r="B22" s="25"/>
      <c r="C22" s="25"/>
      <c r="D22" s="25"/>
      <c r="E22" s="25"/>
      <c r="F22" s="2"/>
      <c r="G22" s="2"/>
    </row>
    <row r="23" spans="1:7" ht="12.75">
      <c r="A23" s="2"/>
      <c r="B23" s="25"/>
      <c r="C23" s="25"/>
      <c r="D23" s="25"/>
      <c r="E23" s="25"/>
      <c r="F23" s="2"/>
      <c r="G23" s="2"/>
    </row>
    <row r="24" spans="1:7" ht="12.75">
      <c r="A24" s="2"/>
      <c r="B24" s="25"/>
      <c r="C24" s="25"/>
      <c r="D24" s="25"/>
      <c r="E24" s="25"/>
      <c r="F24" s="2"/>
      <c r="G24" s="2"/>
    </row>
    <row r="29" spans="1:7" ht="12.75">
      <c r="A29" s="10" t="s">
        <v>59</v>
      </c>
      <c r="B29" s="25"/>
      <c r="C29" s="25"/>
      <c r="D29" s="25"/>
      <c r="E29" s="25"/>
      <c r="F29" s="2"/>
      <c r="G29" s="2"/>
    </row>
    <row r="30" spans="1:7" ht="12.75">
      <c r="A30" s="2"/>
      <c r="B30" s="25"/>
      <c r="C30" s="25"/>
      <c r="D30" s="25"/>
      <c r="E30" s="25"/>
      <c r="F30" s="2"/>
      <c r="G30" s="2"/>
    </row>
    <row r="31" spans="1:7" ht="12.75">
      <c r="A31" s="23" t="s">
        <v>457</v>
      </c>
      <c r="B31" s="91"/>
      <c r="C31" s="91"/>
      <c r="D31" s="91"/>
      <c r="E31" s="91"/>
      <c r="G31" s="91"/>
    </row>
    <row r="32" spans="1:7" ht="12.75">
      <c r="A32" s="91"/>
      <c r="B32" s="91"/>
      <c r="C32" s="91"/>
      <c r="D32" s="91"/>
      <c r="E32" s="91"/>
      <c r="F32" s="185"/>
      <c r="G32" s="91"/>
    </row>
    <row r="33" spans="1:7" ht="12.75">
      <c r="A33" s="91"/>
      <c r="B33" s="181"/>
      <c r="C33" s="181"/>
      <c r="D33" s="181"/>
      <c r="E33" s="181"/>
      <c r="F33" s="186"/>
      <c r="G33" s="94"/>
    </row>
    <row r="34" spans="1:7" ht="12.75">
      <c r="A34" s="91"/>
      <c r="B34" s="181"/>
      <c r="C34" s="181"/>
      <c r="D34" s="181"/>
      <c r="E34" s="181"/>
      <c r="F34" s="186"/>
      <c r="G34" s="94"/>
    </row>
    <row r="35" spans="1:7" ht="12.75">
      <c r="A35" s="91"/>
      <c r="B35" s="182"/>
      <c r="C35" s="182"/>
      <c r="D35" s="182"/>
      <c r="E35" s="182"/>
      <c r="F35" s="186"/>
      <c r="G35" s="183"/>
    </row>
    <row r="36" spans="1:7" ht="12.75">
      <c r="A36" s="91"/>
      <c r="B36" s="183"/>
      <c r="C36" s="91"/>
      <c r="D36" s="91"/>
      <c r="E36" s="91"/>
      <c r="F36" s="186"/>
      <c r="G36" s="91"/>
    </row>
    <row r="37" spans="2:7" ht="12.75">
      <c r="B37" s="91"/>
      <c r="C37" s="91"/>
      <c r="D37" s="91"/>
      <c r="E37" s="91"/>
      <c r="F37" s="186"/>
      <c r="G37" s="91"/>
    </row>
    <row r="38" spans="1:7" ht="12.75">
      <c r="A38" s="184"/>
      <c r="B38" s="182"/>
      <c r="C38" s="182"/>
      <c r="D38" s="182"/>
      <c r="E38" s="182"/>
      <c r="F38" s="186"/>
      <c r="G38" s="183"/>
    </row>
    <row r="39" spans="1:7" ht="12.75">
      <c r="A39" s="184"/>
      <c r="B39" s="182"/>
      <c r="C39" s="182"/>
      <c r="D39" s="182"/>
      <c r="E39" s="182"/>
      <c r="F39" s="185"/>
      <c r="G39" s="183"/>
    </row>
    <row r="40" spans="2:7" ht="12.75">
      <c r="B40" s="24"/>
      <c r="C40" s="24"/>
      <c r="D40" s="24"/>
      <c r="E40" s="24"/>
      <c r="F40" s="186"/>
      <c r="G40" s="24"/>
    </row>
    <row r="41" spans="2:7" ht="15" customHeight="1">
      <c r="B41" s="182"/>
      <c r="C41" s="182"/>
      <c r="D41" s="182"/>
      <c r="E41" s="182"/>
      <c r="F41" s="183"/>
      <c r="G41" s="183"/>
    </row>
    <row r="42" spans="1:7" ht="12.75">
      <c r="A42" s="23"/>
      <c r="B42" s="24"/>
      <c r="C42" s="24"/>
      <c r="D42" s="24"/>
      <c r="E42" s="24"/>
      <c r="F42" s="24"/>
      <c r="G42" s="24"/>
    </row>
    <row r="43" spans="1:7" ht="12.75">
      <c r="A43" s="183"/>
      <c r="B43" s="182"/>
      <c r="C43" s="182"/>
      <c r="D43" s="182"/>
      <c r="E43" s="182"/>
      <c r="F43" s="183"/>
      <c r="G43" s="183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26" top="0.6" bottom="0.82" header="0" footer="0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workbookViewId="0" topLeftCell="A1">
      <selection activeCell="A3" sqref="A3:F3"/>
    </sheetView>
  </sheetViews>
  <sheetFormatPr defaultColWidth="9.140625" defaultRowHeight="12.75"/>
  <cols>
    <col min="1" max="1" width="40.421875" style="2" customWidth="1"/>
    <col min="2" max="5" width="12.8515625" style="25" customWidth="1"/>
    <col min="6" max="6" width="11.28125" style="2" bestFit="1" customWidth="1"/>
    <col min="7" max="7" width="2.7109375" style="2" customWidth="1"/>
    <col min="8" max="8" width="4.28125" style="2" customWidth="1"/>
    <col min="9" max="16384" width="11.421875" style="2" customWidth="1"/>
  </cols>
  <sheetData>
    <row r="1" spans="5:6" ht="12.75">
      <c r="E1" s="246" t="s">
        <v>151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409</v>
      </c>
      <c r="B4" s="245"/>
      <c r="C4" s="245"/>
      <c r="D4" s="245"/>
      <c r="E4" s="245"/>
      <c r="F4" s="245"/>
    </row>
    <row r="5" spans="1:7" ht="15">
      <c r="A5" s="245" t="s">
        <v>490</v>
      </c>
      <c r="B5" s="245"/>
      <c r="C5" s="245"/>
      <c r="D5" s="245"/>
      <c r="E5" s="245"/>
      <c r="F5" s="245"/>
      <c r="G5" s="41"/>
    </row>
    <row r="6" spans="1:6" ht="8.25" customHeight="1">
      <c r="A6" s="110"/>
      <c r="B6" s="110"/>
      <c r="C6" s="110"/>
      <c r="D6" s="110"/>
      <c r="E6" s="110"/>
      <c r="F6" s="110"/>
    </row>
    <row r="7" spans="1:6" ht="8.25" customHeight="1">
      <c r="A7" s="110"/>
      <c r="B7" s="110"/>
      <c r="C7" s="110"/>
      <c r="D7" s="110"/>
      <c r="E7" s="110"/>
      <c r="F7" s="110"/>
    </row>
    <row r="8" spans="1:6" ht="8.25" customHeight="1">
      <c r="A8" s="19"/>
      <c r="B8" s="19"/>
      <c r="C8" s="19"/>
      <c r="D8" s="19"/>
      <c r="E8" s="19"/>
      <c r="F8" s="19"/>
    </row>
    <row r="9" spans="1:6" ht="12.75">
      <c r="A9" s="83"/>
      <c r="B9" s="83"/>
      <c r="C9" s="83"/>
      <c r="D9" s="83"/>
      <c r="E9" s="83"/>
      <c r="F9" s="3"/>
    </row>
    <row r="10" spans="1:6" ht="22.5" customHeight="1">
      <c r="A10" s="108" t="s">
        <v>19</v>
      </c>
      <c r="B10" s="109" t="s">
        <v>487</v>
      </c>
      <c r="C10" s="109" t="s">
        <v>488</v>
      </c>
      <c r="D10" s="109" t="s">
        <v>489</v>
      </c>
      <c r="E10" s="108" t="s">
        <v>20</v>
      </c>
      <c r="F10" s="98" t="s">
        <v>21</v>
      </c>
    </row>
    <row r="11" spans="1:6" ht="12.75">
      <c r="A11" s="83"/>
      <c r="B11" s="83"/>
      <c r="C11" s="83"/>
      <c r="D11" s="83"/>
      <c r="E11" s="83"/>
      <c r="F11" s="3"/>
    </row>
    <row r="12" spans="1:6" ht="12.75" customHeight="1">
      <c r="A12" s="3"/>
      <c r="B12" s="28"/>
      <c r="C12" s="28"/>
      <c r="D12" s="26"/>
      <c r="E12" s="26"/>
      <c r="F12" s="3"/>
    </row>
    <row r="13" spans="1:6" ht="12.75" customHeight="1">
      <c r="A13" s="3"/>
      <c r="B13" s="28"/>
      <c r="C13" s="28"/>
      <c r="D13" s="26"/>
      <c r="E13" s="26"/>
      <c r="F13" s="3"/>
    </row>
    <row r="14" spans="1:7" ht="17.25" customHeight="1">
      <c r="A14" s="9" t="s">
        <v>476</v>
      </c>
      <c r="B14" s="155"/>
      <c r="C14" s="155">
        <v>171803.1</v>
      </c>
      <c r="D14" s="154"/>
      <c r="E14" s="155">
        <f>SUM(B14:D14)</f>
        <v>171803.1</v>
      </c>
      <c r="F14" s="161">
        <f aca="true" t="shared" si="0" ref="F14:F24">(E14/$E$28*100)</f>
        <v>8.609192981946592</v>
      </c>
      <c r="G14" s="11" t="s">
        <v>23</v>
      </c>
    </row>
    <row r="15" spans="1:7" ht="17.25" customHeight="1">
      <c r="A15" s="9" t="s">
        <v>523</v>
      </c>
      <c r="B15" s="2"/>
      <c r="C15" s="155">
        <v>250000</v>
      </c>
      <c r="D15" s="154"/>
      <c r="E15" s="155">
        <f>SUM(C15:D15)</f>
        <v>250000</v>
      </c>
      <c r="F15" s="161">
        <f t="shared" si="0"/>
        <v>12.527703199107862</v>
      </c>
      <c r="G15" s="11" t="s">
        <v>24</v>
      </c>
    </row>
    <row r="16" spans="1:7" ht="17.25" customHeight="1">
      <c r="A16" s="9" t="s">
        <v>477</v>
      </c>
      <c r="B16" s="155">
        <v>30000</v>
      </c>
      <c r="C16" s="155"/>
      <c r="D16" s="154"/>
      <c r="E16" s="155">
        <f aca="true" t="shared" si="1" ref="E16:E23">SUM(B16:D16)</f>
        <v>30000</v>
      </c>
      <c r="F16" s="161">
        <f t="shared" si="0"/>
        <v>1.5033243838929435</v>
      </c>
      <c r="G16" s="14" t="s">
        <v>27</v>
      </c>
    </row>
    <row r="17" spans="1:7" ht="17.25" customHeight="1">
      <c r="A17" s="9" t="s">
        <v>521</v>
      </c>
      <c r="B17" s="155">
        <v>69000</v>
      </c>
      <c r="C17" s="155"/>
      <c r="D17" s="154"/>
      <c r="E17" s="155">
        <f t="shared" si="1"/>
        <v>69000</v>
      </c>
      <c r="F17" s="161">
        <f t="shared" si="0"/>
        <v>3.45764608295377</v>
      </c>
      <c r="G17" s="11" t="s">
        <v>314</v>
      </c>
    </row>
    <row r="18" spans="1:7" ht="17.25" customHeight="1">
      <c r="A18" s="9" t="s">
        <v>524</v>
      </c>
      <c r="B18" s="155"/>
      <c r="C18" s="155">
        <v>50700</v>
      </c>
      <c r="D18" s="154"/>
      <c r="E18" s="155">
        <f t="shared" si="1"/>
        <v>50700</v>
      </c>
      <c r="F18" s="161">
        <f t="shared" si="0"/>
        <v>2.5406182087790747</v>
      </c>
      <c r="G18" s="11" t="s">
        <v>315</v>
      </c>
    </row>
    <row r="19" spans="1:8" ht="17.25" customHeight="1">
      <c r="A19" s="9" t="s">
        <v>522</v>
      </c>
      <c r="B19" s="155">
        <v>180000</v>
      </c>
      <c r="C19" s="155">
        <f>160000+200000</f>
        <v>360000</v>
      </c>
      <c r="D19" s="154"/>
      <c r="E19" s="155">
        <f t="shared" si="1"/>
        <v>540000</v>
      </c>
      <c r="F19" s="161">
        <f t="shared" si="0"/>
        <v>27.059838910072987</v>
      </c>
      <c r="G19" s="11" t="s">
        <v>316</v>
      </c>
      <c r="H19" s="17"/>
    </row>
    <row r="20" spans="1:8" ht="17.25" customHeight="1">
      <c r="A20" s="9" t="s">
        <v>525</v>
      </c>
      <c r="B20" s="155"/>
      <c r="C20" s="155">
        <v>19800</v>
      </c>
      <c r="D20" s="154"/>
      <c r="E20" s="155">
        <f t="shared" si="1"/>
        <v>19800</v>
      </c>
      <c r="F20" s="161">
        <f t="shared" si="0"/>
        <v>0.9921940933693427</v>
      </c>
      <c r="G20" s="14" t="s">
        <v>484</v>
      </c>
      <c r="H20" s="17"/>
    </row>
    <row r="21" spans="1:8" ht="17.25" customHeight="1">
      <c r="A21" s="9" t="s">
        <v>478</v>
      </c>
      <c r="B21" s="155"/>
      <c r="C21" s="155">
        <f>14000+20000</f>
        <v>34000</v>
      </c>
      <c r="D21" s="154">
        <v>17000</v>
      </c>
      <c r="E21" s="155">
        <f t="shared" si="1"/>
        <v>51000</v>
      </c>
      <c r="F21" s="161">
        <f t="shared" si="0"/>
        <v>2.555651452618004</v>
      </c>
      <c r="G21" s="14" t="s">
        <v>545</v>
      </c>
      <c r="H21" s="17"/>
    </row>
    <row r="22" spans="1:8" ht="17.25" customHeight="1">
      <c r="A22" s="9" t="s">
        <v>479</v>
      </c>
      <c r="B22" s="155"/>
      <c r="C22" s="155">
        <v>66750</v>
      </c>
      <c r="D22" s="154"/>
      <c r="E22" s="155">
        <f t="shared" si="1"/>
        <v>66750</v>
      </c>
      <c r="F22" s="161">
        <f t="shared" si="0"/>
        <v>3.3448967541617995</v>
      </c>
      <c r="G22" s="14" t="s">
        <v>556</v>
      </c>
      <c r="H22" s="17"/>
    </row>
    <row r="23" spans="1:8" ht="17.25" customHeight="1">
      <c r="A23" s="9" t="s">
        <v>464</v>
      </c>
      <c r="B23" s="155">
        <v>102000</v>
      </c>
      <c r="C23" s="155">
        <v>102000</v>
      </c>
      <c r="D23" s="154"/>
      <c r="E23" s="155">
        <f t="shared" si="1"/>
        <v>204000</v>
      </c>
      <c r="F23" s="161">
        <f t="shared" si="0"/>
        <v>10.222605810472016</v>
      </c>
      <c r="G23" s="14" t="s">
        <v>557</v>
      </c>
      <c r="H23" s="17"/>
    </row>
    <row r="24" spans="1:7" ht="17.25" customHeight="1">
      <c r="A24" s="9" t="s">
        <v>582</v>
      </c>
      <c r="B24" s="155">
        <v>542524.19</v>
      </c>
      <c r="C24" s="155"/>
      <c r="D24" s="155"/>
      <c r="E24" s="155">
        <f>SUM(B24:D24)</f>
        <v>542524.19</v>
      </c>
      <c r="F24" s="161">
        <f t="shared" si="0"/>
        <v>27.186328122625607</v>
      </c>
      <c r="G24" s="14" t="s">
        <v>581</v>
      </c>
    </row>
    <row r="25" spans="1:7" ht="17.25" customHeight="1">
      <c r="A25" s="9"/>
      <c r="B25" s="155"/>
      <c r="C25" s="155"/>
      <c r="D25" s="155"/>
      <c r="E25" s="155"/>
      <c r="F25" s="161"/>
      <c r="G25" s="11"/>
    </row>
    <row r="26" spans="1:7" ht="17.25" customHeight="1">
      <c r="A26" s="9"/>
      <c r="B26" s="167"/>
      <c r="C26" s="117"/>
      <c r="D26" s="155"/>
      <c r="E26" s="155"/>
      <c r="F26" s="161"/>
      <c r="G26" s="11"/>
    </row>
    <row r="27" spans="2:7" ht="4.5" customHeight="1">
      <c r="B27" s="187"/>
      <c r="C27" s="187"/>
      <c r="D27" s="164"/>
      <c r="E27" s="155"/>
      <c r="F27" s="161"/>
      <c r="G27" s="11"/>
    </row>
    <row r="28" spans="1:7" ht="13.5" thickBot="1">
      <c r="A28" s="6" t="s">
        <v>207</v>
      </c>
      <c r="B28" s="179">
        <f>SUM(B14:B26)</f>
        <v>923524.19</v>
      </c>
      <c r="C28" s="179">
        <f>SUM(C14:C26)</f>
        <v>1055053.1</v>
      </c>
      <c r="D28" s="179">
        <f>SUM(D14:D26)</f>
        <v>17000</v>
      </c>
      <c r="E28" s="179">
        <f>SUM(E14:E26)</f>
        <v>1995577.29</v>
      </c>
      <c r="F28" s="179">
        <f>SUM(F14:F26)</f>
        <v>100</v>
      </c>
      <c r="G28" s="11"/>
    </row>
    <row r="29" spans="1:7" ht="13.5" thickTop="1">
      <c r="A29" s="6"/>
      <c r="B29" s="62"/>
      <c r="C29" s="62"/>
      <c r="D29" s="62"/>
      <c r="E29" s="62"/>
      <c r="F29" s="62"/>
      <c r="G29" s="11"/>
    </row>
    <row r="30" spans="1:7" ht="12.75">
      <c r="A30" s="6"/>
      <c r="B30" s="62"/>
      <c r="C30" s="62"/>
      <c r="D30" s="62"/>
      <c r="E30" s="62"/>
      <c r="F30" s="62"/>
      <c r="G30" s="11"/>
    </row>
    <row r="31" spans="1:7" ht="12.75">
      <c r="A31" s="6"/>
      <c r="B31" s="62"/>
      <c r="C31" s="62"/>
      <c r="D31" s="62"/>
      <c r="E31" s="62"/>
      <c r="F31" s="62"/>
      <c r="G31" s="11"/>
    </row>
    <row r="32" spans="1:7" ht="12.75">
      <c r="A32" s="6"/>
      <c r="B32" s="62"/>
      <c r="C32" s="62"/>
      <c r="D32" s="62"/>
      <c r="E32" s="62"/>
      <c r="F32" s="62"/>
      <c r="G32" s="11"/>
    </row>
    <row r="33" spans="2:6" ht="12.75">
      <c r="B33" s="62"/>
      <c r="C33" s="62"/>
      <c r="D33" s="62"/>
      <c r="E33" s="62"/>
      <c r="F33" s="18"/>
    </row>
    <row r="34" spans="1:6" ht="12.75">
      <c r="A34" s="14"/>
      <c r="B34" s="62"/>
      <c r="C34" s="62"/>
      <c r="D34" s="62"/>
      <c r="E34" s="62"/>
      <c r="F34" s="18"/>
    </row>
    <row r="35" spans="1:6" ht="12.75">
      <c r="A35" s="14" t="s">
        <v>29</v>
      </c>
      <c r="B35" s="62"/>
      <c r="C35" s="62"/>
      <c r="D35" s="62"/>
      <c r="E35" s="62"/>
      <c r="F35" s="18"/>
    </row>
    <row r="36" spans="1:6" ht="12.75">
      <c r="A36" s="14"/>
      <c r="B36" s="62"/>
      <c r="C36" s="62"/>
      <c r="D36" s="62"/>
      <c r="E36" s="62"/>
      <c r="F36" s="18"/>
    </row>
    <row r="37" spans="1:6" ht="12.75">
      <c r="A37" s="14" t="s">
        <v>482</v>
      </c>
      <c r="B37" s="62"/>
      <c r="C37" s="62"/>
      <c r="D37" s="62"/>
      <c r="E37" s="62"/>
      <c r="F37" s="186">
        <v>171803.1</v>
      </c>
    </row>
    <row r="38" spans="2:6" ht="6" customHeight="1">
      <c r="B38" s="62"/>
      <c r="C38" s="62"/>
      <c r="D38" s="62"/>
      <c r="E38" s="62"/>
      <c r="F38" s="186"/>
    </row>
    <row r="39" spans="1:6" ht="12.75" customHeight="1">
      <c r="A39" s="14" t="s">
        <v>546</v>
      </c>
      <c r="B39" s="62"/>
      <c r="C39" s="62"/>
      <c r="D39" s="62"/>
      <c r="E39" s="62"/>
      <c r="F39" s="186">
        <v>250000</v>
      </c>
    </row>
    <row r="40" spans="2:6" ht="6" customHeight="1">
      <c r="B40" s="62"/>
      <c r="C40" s="62"/>
      <c r="D40" s="62"/>
      <c r="E40" s="62"/>
      <c r="F40" s="186"/>
    </row>
    <row r="41" spans="1:6" ht="12.75" customHeight="1">
      <c r="A41" s="14" t="s">
        <v>543</v>
      </c>
      <c r="B41" s="62"/>
      <c r="C41" s="62"/>
      <c r="D41" s="62"/>
      <c r="E41" s="62"/>
      <c r="F41" s="186"/>
    </row>
    <row r="42" spans="1:6" ht="12.75" customHeight="1">
      <c r="A42" s="63" t="s">
        <v>483</v>
      </c>
      <c r="B42" s="62"/>
      <c r="C42" s="62"/>
      <c r="D42" s="62"/>
      <c r="E42" s="62"/>
      <c r="F42" s="186">
        <v>30000</v>
      </c>
    </row>
    <row r="43" spans="1:6" ht="6" customHeight="1">
      <c r="A43" s="63"/>
      <c r="B43" s="62"/>
      <c r="C43" s="62"/>
      <c r="D43" s="62"/>
      <c r="E43" s="62"/>
      <c r="F43" s="186"/>
    </row>
    <row r="44" spans="1:6" ht="12.75" customHeight="1">
      <c r="A44" s="14" t="s">
        <v>544</v>
      </c>
      <c r="B44" s="62"/>
      <c r="C44" s="62"/>
      <c r="D44" s="62"/>
      <c r="E44" s="62"/>
      <c r="F44" s="186">
        <v>69000</v>
      </c>
    </row>
    <row r="45" spans="2:6" ht="6" customHeight="1">
      <c r="B45" s="62"/>
      <c r="C45" s="62"/>
      <c r="D45" s="62"/>
      <c r="E45" s="62"/>
      <c r="F45" s="186"/>
    </row>
    <row r="46" spans="1:6" ht="12.75" customHeight="1">
      <c r="A46" s="14" t="s">
        <v>547</v>
      </c>
      <c r="B46" s="62"/>
      <c r="C46" s="62"/>
      <c r="D46" s="62"/>
      <c r="E46" s="62"/>
      <c r="F46" s="186">
        <v>50700</v>
      </c>
    </row>
    <row r="47" spans="1:6" ht="6" customHeight="1">
      <c r="A47" s="14"/>
      <c r="B47" s="62"/>
      <c r="C47" s="62"/>
      <c r="D47" s="62"/>
      <c r="E47" s="62"/>
      <c r="F47" s="186"/>
    </row>
    <row r="48" spans="1:6" ht="12.75">
      <c r="A48" s="14" t="s">
        <v>548</v>
      </c>
      <c r="B48" s="62"/>
      <c r="C48" s="62"/>
      <c r="D48" s="62"/>
      <c r="E48" s="62"/>
      <c r="F48" s="186">
        <v>180000</v>
      </c>
    </row>
    <row r="49" spans="1:6" ht="12.75">
      <c r="A49" s="63" t="s">
        <v>549</v>
      </c>
      <c r="B49" s="62"/>
      <c r="C49" s="62"/>
      <c r="D49" s="62"/>
      <c r="E49" s="62"/>
      <c r="F49" s="186"/>
    </row>
    <row r="50" spans="1:6" ht="12.75">
      <c r="A50" s="63" t="s">
        <v>550</v>
      </c>
      <c r="B50" s="62"/>
      <c r="C50" s="62"/>
      <c r="D50" s="62"/>
      <c r="E50" s="62"/>
      <c r="F50" s="186">
        <f>160000+200000</f>
        <v>360000</v>
      </c>
    </row>
    <row r="51" spans="1:6" ht="6" customHeight="1">
      <c r="A51" s="63"/>
      <c r="B51" s="62"/>
      <c r="C51" s="62"/>
      <c r="D51" s="62"/>
      <c r="E51" s="62"/>
      <c r="F51" s="186"/>
    </row>
    <row r="52" spans="1:6" ht="12.75">
      <c r="A52" s="14" t="s">
        <v>551</v>
      </c>
      <c r="B52" s="62"/>
      <c r="C52" s="62"/>
      <c r="D52" s="62"/>
      <c r="E52" s="62"/>
      <c r="F52" s="186">
        <v>19800</v>
      </c>
    </row>
    <row r="53" spans="2:6" ht="6" customHeight="1">
      <c r="B53" s="62"/>
      <c r="C53" s="62"/>
      <c r="D53" s="62"/>
      <c r="E53" s="62"/>
      <c r="F53" s="186"/>
    </row>
    <row r="54" spans="1:5" ht="12.75" customHeight="1">
      <c r="A54" s="14" t="s">
        <v>554</v>
      </c>
      <c r="B54" s="62"/>
      <c r="C54" s="62"/>
      <c r="D54" s="62"/>
      <c r="E54" s="62"/>
    </row>
    <row r="55" spans="1:6" ht="12.75" customHeight="1">
      <c r="A55" s="63" t="s">
        <v>555</v>
      </c>
      <c r="B55" s="62"/>
      <c r="C55" s="62"/>
      <c r="D55" s="62"/>
      <c r="E55" s="62"/>
      <c r="F55" s="186">
        <v>30000</v>
      </c>
    </row>
    <row r="56" spans="1:6" ht="12.75" customHeight="1">
      <c r="A56" s="63" t="s">
        <v>553</v>
      </c>
      <c r="B56" s="62"/>
      <c r="C56" s="62"/>
      <c r="D56" s="62"/>
      <c r="E56" s="62"/>
      <c r="F56" s="186">
        <v>21000</v>
      </c>
    </row>
    <row r="57" spans="1:6" ht="6" customHeight="1">
      <c r="A57" s="14"/>
      <c r="B57" s="62"/>
      <c r="C57" s="62"/>
      <c r="D57" s="62"/>
      <c r="E57" s="62"/>
      <c r="F57" s="186"/>
    </row>
    <row r="58" spans="1:6" ht="12.75">
      <c r="A58" s="14" t="s">
        <v>558</v>
      </c>
      <c r="B58" s="62"/>
      <c r="C58" s="62"/>
      <c r="D58" s="62"/>
      <c r="E58" s="62"/>
      <c r="F58" s="186"/>
    </row>
    <row r="59" spans="1:6" ht="12.75">
      <c r="A59" s="63" t="s">
        <v>485</v>
      </c>
      <c r="B59" s="62"/>
      <c r="C59" s="62"/>
      <c r="D59" s="62"/>
      <c r="E59" s="62"/>
      <c r="F59" s="186">
        <v>66750</v>
      </c>
    </row>
    <row r="60" spans="2:6" ht="6" customHeight="1">
      <c r="B60" s="62"/>
      <c r="C60" s="62"/>
      <c r="D60" s="62"/>
      <c r="E60" s="62"/>
      <c r="F60" s="186"/>
    </row>
    <row r="61" spans="1:6" ht="12.75">
      <c r="A61" s="14" t="s">
        <v>559</v>
      </c>
      <c r="B61" s="62"/>
      <c r="C61" s="62"/>
      <c r="D61" s="62"/>
      <c r="E61" s="62"/>
      <c r="F61" s="186"/>
    </row>
    <row r="62" spans="1:6" ht="12.75">
      <c r="A62" s="42" t="s">
        <v>486</v>
      </c>
      <c r="B62" s="62"/>
      <c r="C62" s="62"/>
      <c r="D62" s="62"/>
      <c r="E62" s="62"/>
      <c r="F62" s="186">
        <f>102000+102000</f>
        <v>204000</v>
      </c>
    </row>
    <row r="63" spans="2:6" ht="6" customHeight="1">
      <c r="B63" s="62"/>
      <c r="C63" s="62"/>
      <c r="D63" s="62"/>
      <c r="E63" s="62"/>
      <c r="F63" s="186"/>
    </row>
    <row r="64" spans="1:6" ht="12.75" customHeight="1">
      <c r="A64" s="14" t="s">
        <v>583</v>
      </c>
      <c r="B64" s="62"/>
      <c r="C64" s="62"/>
      <c r="D64" s="62"/>
      <c r="E64" s="62"/>
      <c r="F64" s="186"/>
    </row>
    <row r="65" spans="1:6" ht="12.75">
      <c r="A65" s="63" t="s">
        <v>584</v>
      </c>
      <c r="B65" s="62"/>
      <c r="C65" s="62"/>
      <c r="D65" s="62"/>
      <c r="E65" s="62"/>
      <c r="F65" s="186">
        <v>542524.19</v>
      </c>
    </row>
    <row r="66" spans="1:6" ht="12.75">
      <c r="A66" s="63"/>
      <c r="B66" s="62"/>
      <c r="C66" s="62"/>
      <c r="D66" s="62"/>
      <c r="E66" s="62"/>
      <c r="F66" s="186"/>
    </row>
    <row r="67" spans="1:6" ht="13.5" thickBot="1">
      <c r="A67" s="14"/>
      <c r="B67" s="62"/>
      <c r="C67" s="62"/>
      <c r="D67" s="62"/>
      <c r="E67" s="62"/>
      <c r="F67" s="239">
        <f>SUM(F37:F66)</f>
        <v>1995577.29</v>
      </c>
    </row>
    <row r="68" spans="2:6" ht="13.5" thickTop="1">
      <c r="B68" s="62"/>
      <c r="C68" s="62"/>
      <c r="D68" s="62"/>
      <c r="E68" s="62"/>
      <c r="F68" s="18"/>
    </row>
    <row r="69" spans="1:6" ht="12.75">
      <c r="A69" s="63" t="s">
        <v>552</v>
      </c>
      <c r="B69" s="62"/>
      <c r="C69" s="62"/>
      <c r="D69" s="62"/>
      <c r="E69" s="62"/>
      <c r="F69" s="18"/>
    </row>
    <row r="70" spans="1:6" ht="12.75">
      <c r="A70" s="14"/>
      <c r="B70" s="62"/>
      <c r="C70" s="62"/>
      <c r="D70" s="62"/>
      <c r="E70" s="62"/>
      <c r="F70" s="18"/>
    </row>
    <row r="71" spans="1:6" ht="12.75">
      <c r="A71" s="14"/>
      <c r="B71" s="62"/>
      <c r="C71" s="62"/>
      <c r="D71" s="62"/>
      <c r="E71" s="62"/>
      <c r="F71" s="18"/>
    </row>
    <row r="72" spans="1:6" ht="12.75">
      <c r="A72" s="63"/>
      <c r="B72" s="62"/>
      <c r="C72" s="62"/>
      <c r="D72" s="62"/>
      <c r="E72" s="62"/>
      <c r="F72" s="18"/>
    </row>
    <row r="73" spans="1:6" ht="12" customHeight="1">
      <c r="A73" s="63"/>
      <c r="B73" s="62"/>
      <c r="C73" s="62"/>
      <c r="D73" s="62"/>
      <c r="E73" s="62"/>
      <c r="F73" s="18"/>
    </row>
    <row r="74" spans="1:7" ht="12.75">
      <c r="A74" s="42"/>
      <c r="B74" s="64"/>
      <c r="C74" s="64"/>
      <c r="D74" s="64"/>
      <c r="E74" s="64"/>
      <c r="F74" s="65"/>
      <c r="G74" s="66"/>
    </row>
    <row r="75" spans="1:7" ht="12.75">
      <c r="A75" s="14"/>
      <c r="B75" s="64"/>
      <c r="C75" s="64"/>
      <c r="D75" s="64"/>
      <c r="E75" s="64"/>
      <c r="F75" s="65"/>
      <c r="G75" s="66"/>
    </row>
    <row r="76" spans="1:7" ht="12.75">
      <c r="A76" s="42"/>
      <c r="B76" s="64"/>
      <c r="C76" s="64"/>
      <c r="D76" s="64"/>
      <c r="E76" s="64"/>
      <c r="F76" s="65"/>
      <c r="G76" s="66"/>
    </row>
    <row r="77" spans="1:7" ht="12.75">
      <c r="A77" s="14"/>
      <c r="B77" s="64"/>
      <c r="C77" s="64"/>
      <c r="D77" s="64"/>
      <c r="E77" s="64"/>
      <c r="F77" s="65"/>
      <c r="G77" s="66"/>
    </row>
    <row r="78" spans="1:7" ht="12.75">
      <c r="A78" s="14"/>
      <c r="B78" s="64"/>
      <c r="C78" s="64"/>
      <c r="D78" s="64"/>
      <c r="E78" s="64"/>
      <c r="F78" s="65"/>
      <c r="G78" s="66"/>
    </row>
    <row r="79" spans="1:7" ht="12.75">
      <c r="A79" s="14"/>
      <c r="B79" s="64"/>
      <c r="C79" s="64"/>
      <c r="D79" s="64"/>
      <c r="E79" s="64"/>
      <c r="F79" s="65"/>
      <c r="G79" s="66"/>
    </row>
    <row r="80" spans="1:7" ht="12.75">
      <c r="A80" s="14"/>
      <c r="B80" s="64"/>
      <c r="C80" s="64"/>
      <c r="D80" s="64"/>
      <c r="E80" s="64"/>
      <c r="F80" s="65"/>
      <c r="G80" s="66"/>
    </row>
    <row r="81" spans="1:7" ht="12.75">
      <c r="A81" s="14"/>
      <c r="B81" s="64"/>
      <c r="C81" s="64"/>
      <c r="D81" s="64"/>
      <c r="E81" s="64"/>
      <c r="F81" s="65"/>
      <c r="G81" s="66"/>
    </row>
    <row r="82" spans="1:7" ht="12.75">
      <c r="A82" s="14"/>
      <c r="B82" s="64"/>
      <c r="C82" s="64"/>
      <c r="D82" s="64"/>
      <c r="E82" s="64"/>
      <c r="F82" s="65"/>
      <c r="G82" s="66"/>
    </row>
    <row r="83" spans="1:7" ht="12.75">
      <c r="A83" s="14"/>
      <c r="B83" s="64"/>
      <c r="C83" s="64"/>
      <c r="D83" s="64"/>
      <c r="E83" s="64"/>
      <c r="F83" s="65"/>
      <c r="G83" s="66"/>
    </row>
    <row r="84" spans="1:7" ht="12.75">
      <c r="A84" s="14"/>
      <c r="B84" s="64"/>
      <c r="C84" s="64"/>
      <c r="D84" s="64"/>
      <c r="E84" s="64"/>
      <c r="F84" s="65"/>
      <c r="G84" s="66"/>
    </row>
    <row r="85" spans="1:7" ht="12.75">
      <c r="A85" s="14"/>
      <c r="B85" s="64"/>
      <c r="C85" s="64"/>
      <c r="D85" s="64"/>
      <c r="E85" s="64"/>
      <c r="F85" s="65"/>
      <c r="G85" s="66"/>
    </row>
    <row r="86" spans="1:7" ht="12.75">
      <c r="A86" s="14"/>
      <c r="B86" s="64"/>
      <c r="C86" s="64"/>
      <c r="D86" s="64"/>
      <c r="E86" s="64"/>
      <c r="F86" s="65"/>
      <c r="G86" s="66"/>
    </row>
    <row r="87" spans="1:7" ht="12.75">
      <c r="A87" s="14"/>
      <c r="B87" s="64"/>
      <c r="C87" s="64"/>
      <c r="D87" s="64"/>
      <c r="E87" s="64"/>
      <c r="F87" s="65"/>
      <c r="G87" s="66"/>
    </row>
    <row r="88" spans="1:7" ht="12.75">
      <c r="A88" s="14"/>
      <c r="B88" s="64"/>
      <c r="C88" s="64"/>
      <c r="D88" s="64"/>
      <c r="E88" s="64"/>
      <c r="F88" s="65"/>
      <c r="G88" s="66"/>
    </row>
    <row r="89" spans="1:7" ht="12.75">
      <c r="A89" s="14"/>
      <c r="B89" s="64"/>
      <c r="C89" s="64"/>
      <c r="D89" s="64"/>
      <c r="E89" s="64"/>
      <c r="F89" s="65"/>
      <c r="G89" s="66"/>
    </row>
    <row r="90" spans="1:7" ht="12.75">
      <c r="A90" s="14"/>
      <c r="B90" s="64"/>
      <c r="C90" s="64"/>
      <c r="D90" s="64"/>
      <c r="E90" s="64"/>
      <c r="F90" s="65"/>
      <c r="G90" s="66"/>
    </row>
    <row r="91" spans="1:6" ht="12.75">
      <c r="A91" s="67"/>
      <c r="B91" s="68"/>
      <c r="C91" s="68"/>
      <c r="D91" s="68"/>
      <c r="E91" s="68"/>
      <c r="F91" s="67"/>
    </row>
    <row r="92" spans="1:6" ht="12.75">
      <c r="A92" s="67"/>
      <c r="B92" s="68"/>
      <c r="C92" s="68"/>
      <c r="D92" s="68"/>
      <c r="E92" s="68"/>
      <c r="F92" s="67"/>
    </row>
    <row r="93" spans="1:6" ht="12.75">
      <c r="A93" s="67"/>
      <c r="B93" s="68"/>
      <c r="C93" s="68"/>
      <c r="D93" s="68"/>
      <c r="E93" s="68"/>
      <c r="F93" s="67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37" top="0.58" bottom="0.984251968503937" header="0" footer="0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34">
      <selection activeCell="J47" sqref="J47"/>
    </sheetView>
  </sheetViews>
  <sheetFormatPr defaultColWidth="13.421875" defaultRowHeight="12.75"/>
  <cols>
    <col min="1" max="1" width="41.140625" style="2" customWidth="1"/>
    <col min="2" max="2" width="11.8515625" style="25" bestFit="1" customWidth="1"/>
    <col min="3" max="3" width="11.8515625" style="25" customWidth="1"/>
    <col min="4" max="4" width="12.00390625" style="25" customWidth="1"/>
    <col min="5" max="5" width="11.8515625" style="25" bestFit="1" customWidth="1"/>
    <col min="6" max="6" width="6.57421875" style="2" bestFit="1" customWidth="1"/>
    <col min="7" max="7" width="1.8515625" style="2" customWidth="1"/>
    <col min="8" max="8" width="17.28125" style="2" bestFit="1" customWidth="1"/>
    <col min="9" max="16384" width="13.421875" style="2" customWidth="1"/>
  </cols>
  <sheetData>
    <row r="1" spans="5:6" ht="12.75">
      <c r="E1" s="246" t="s">
        <v>10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410</v>
      </c>
      <c r="B4" s="245"/>
      <c r="C4" s="245"/>
      <c r="D4" s="245"/>
      <c r="E4" s="245"/>
      <c r="F4" s="245"/>
    </row>
    <row r="5" spans="1:7" ht="15">
      <c r="A5" s="245" t="s">
        <v>490</v>
      </c>
      <c r="B5" s="245"/>
      <c r="C5" s="245"/>
      <c r="D5" s="245"/>
      <c r="E5" s="245"/>
      <c r="F5" s="245"/>
      <c r="G5" s="41"/>
    </row>
    <row r="6" spans="1:6" ht="8.25" customHeight="1">
      <c r="A6" s="19"/>
      <c r="B6" s="19"/>
      <c r="C6" s="19"/>
      <c r="D6" s="19"/>
      <c r="E6" s="19"/>
      <c r="F6" s="19"/>
    </row>
    <row r="7" spans="1:6" ht="12.75">
      <c r="A7" s="83"/>
      <c r="B7" s="83"/>
      <c r="C7" s="83"/>
      <c r="D7" s="83"/>
      <c r="E7" s="83"/>
      <c r="F7" s="3"/>
    </row>
    <row r="8" spans="1:6" ht="12.75">
      <c r="A8" s="108" t="s">
        <v>19</v>
      </c>
      <c r="B8" s="109" t="s">
        <v>487</v>
      </c>
      <c r="C8" s="109" t="s">
        <v>488</v>
      </c>
      <c r="D8" s="109" t="s">
        <v>489</v>
      </c>
      <c r="E8" s="108" t="s">
        <v>20</v>
      </c>
      <c r="F8" s="98" t="s">
        <v>21</v>
      </c>
    </row>
    <row r="9" spans="1:6" ht="12.75">
      <c r="A9" s="83"/>
      <c r="B9" s="83"/>
      <c r="C9" s="83"/>
      <c r="D9" s="83"/>
      <c r="E9" s="83"/>
      <c r="F9" s="3"/>
    </row>
    <row r="10" spans="2:6" ht="6" customHeight="1">
      <c r="B10" s="33"/>
      <c r="C10" s="33"/>
      <c r="E10" s="33"/>
      <c r="F10" s="69"/>
    </row>
    <row r="11" spans="1:8" ht="12.75">
      <c r="A11" s="7" t="s">
        <v>60</v>
      </c>
      <c r="B11" s="188">
        <v>1617775.32</v>
      </c>
      <c r="C11" s="188">
        <v>2892981.73</v>
      </c>
      <c r="D11" s="188">
        <f>2101944.65+29000</f>
        <v>2130944.65</v>
      </c>
      <c r="E11" s="189">
        <f aca="true" t="shared" si="0" ref="E11:E39">SUM(B11:D11)</f>
        <v>6641701.699999999</v>
      </c>
      <c r="F11" s="190">
        <f aca="true" t="shared" si="1" ref="F11:F39">(E11/$E$117)*100</f>
        <v>0.8768271204964592</v>
      </c>
      <c r="H11" s="188"/>
    </row>
    <row r="12" spans="1:8" ht="12.75">
      <c r="A12" s="7" t="s">
        <v>461</v>
      </c>
      <c r="B12" s="188">
        <v>209.96</v>
      </c>
      <c r="C12" s="188"/>
      <c r="D12" s="188"/>
      <c r="E12" s="189">
        <f aca="true" t="shared" si="2" ref="E12:E18">SUM(B12:D12)</f>
        <v>209.96</v>
      </c>
      <c r="F12" s="190">
        <f t="shared" si="1"/>
        <v>2.7718592393186915E-05</v>
      </c>
      <c r="H12" s="188"/>
    </row>
    <row r="13" spans="1:8" ht="12.75">
      <c r="A13" s="7" t="s">
        <v>469</v>
      </c>
      <c r="B13" s="188">
        <v>1679.7</v>
      </c>
      <c r="C13" s="188"/>
      <c r="D13" s="188"/>
      <c r="E13" s="189">
        <f>SUM(B13:D13)</f>
        <v>1679.7</v>
      </c>
      <c r="F13" s="190">
        <f t="shared" si="1"/>
        <v>0.00022175137951436493</v>
      </c>
      <c r="H13" s="188"/>
    </row>
    <row r="14" spans="1:8" ht="12.75">
      <c r="A14" s="7" t="s">
        <v>309</v>
      </c>
      <c r="B14" s="167">
        <v>103221.69</v>
      </c>
      <c r="C14" s="188">
        <v>116387.2</v>
      </c>
      <c r="D14" s="167">
        <v>43587.96</v>
      </c>
      <c r="E14" s="189">
        <f t="shared" si="2"/>
        <v>263196.85000000003</v>
      </c>
      <c r="F14" s="190">
        <f t="shared" si="1"/>
        <v>0.03474683846599713</v>
      </c>
      <c r="H14" s="167"/>
    </row>
    <row r="15" spans="1:8" ht="12.75">
      <c r="A15" s="7" t="s">
        <v>443</v>
      </c>
      <c r="B15" s="160">
        <v>7577754.24</v>
      </c>
      <c r="C15" s="188"/>
      <c r="D15" s="160">
        <v>4368814.37</v>
      </c>
      <c r="E15" s="189">
        <f t="shared" si="2"/>
        <v>11946568.61</v>
      </c>
      <c r="F15" s="190">
        <f t="shared" si="1"/>
        <v>1.5771673928264027</v>
      </c>
      <c r="H15" s="160"/>
    </row>
    <row r="16" spans="1:8" ht="12.75">
      <c r="A16" s="7" t="s">
        <v>444</v>
      </c>
      <c r="B16" s="160">
        <v>3122959.08</v>
      </c>
      <c r="C16" s="188"/>
      <c r="D16" s="160">
        <v>2972626.69</v>
      </c>
      <c r="E16" s="189">
        <f t="shared" si="2"/>
        <v>6095585.77</v>
      </c>
      <c r="F16" s="190">
        <f t="shared" si="1"/>
        <v>0.8047297454578985</v>
      </c>
      <c r="H16" s="160"/>
    </row>
    <row r="17" spans="1:8" ht="12.75">
      <c r="A17" s="7" t="s">
        <v>445</v>
      </c>
      <c r="B17" s="160">
        <v>6238767.7</v>
      </c>
      <c r="C17" s="188"/>
      <c r="D17" s="160">
        <v>6340554.82</v>
      </c>
      <c r="E17" s="189">
        <f t="shared" si="2"/>
        <v>12579322.52</v>
      </c>
      <c r="F17" s="190">
        <f t="shared" si="1"/>
        <v>1.660702579130867</v>
      </c>
      <c r="H17" s="160"/>
    </row>
    <row r="18" spans="1:8" ht="12.75">
      <c r="A18" s="7" t="s">
        <v>446</v>
      </c>
      <c r="B18" s="160">
        <v>8725368.01</v>
      </c>
      <c r="C18" s="188">
        <v>8423318.83</v>
      </c>
      <c r="D18" s="160">
        <v>8694027.23</v>
      </c>
      <c r="E18" s="189">
        <f t="shared" si="2"/>
        <v>25842714.07</v>
      </c>
      <c r="F18" s="190">
        <f t="shared" si="1"/>
        <v>3.4117148868356186</v>
      </c>
      <c r="H18" s="160"/>
    </row>
    <row r="19" spans="1:6" ht="12.75">
      <c r="A19" s="7" t="s">
        <v>61</v>
      </c>
      <c r="B19" s="188">
        <v>1341483.82</v>
      </c>
      <c r="C19" s="188"/>
      <c r="D19" s="188"/>
      <c r="E19" s="189">
        <f t="shared" si="0"/>
        <v>1341483.82</v>
      </c>
      <c r="F19" s="190">
        <f t="shared" si="1"/>
        <v>0.17710060587081028</v>
      </c>
    </row>
    <row r="20" spans="1:8" ht="12.75">
      <c r="A20" s="7" t="s">
        <v>386</v>
      </c>
      <c r="B20" s="188">
        <v>77857.79</v>
      </c>
      <c r="C20" s="188">
        <v>2668.16</v>
      </c>
      <c r="D20" s="188">
        <v>10000</v>
      </c>
      <c r="E20" s="189">
        <f t="shared" si="0"/>
        <v>90525.95</v>
      </c>
      <c r="F20" s="190">
        <f t="shared" si="1"/>
        <v>0.011951095013602682</v>
      </c>
      <c r="H20" s="188"/>
    </row>
    <row r="21" spans="1:8" ht="12.75">
      <c r="A21" s="7" t="s">
        <v>450</v>
      </c>
      <c r="B21" s="188"/>
      <c r="C21" s="188"/>
      <c r="D21" s="188">
        <v>31000</v>
      </c>
      <c r="E21" s="189">
        <f>SUM(B21:D21)</f>
        <v>31000</v>
      </c>
      <c r="F21" s="190">
        <f t="shared" si="1"/>
        <v>0.00409257174789862</v>
      </c>
      <c r="H21" s="188"/>
    </row>
    <row r="22" spans="1:8" ht="12.75">
      <c r="A22" s="7" t="s">
        <v>390</v>
      </c>
      <c r="B22" s="188"/>
      <c r="C22" s="188"/>
      <c r="D22" s="188">
        <v>10300</v>
      </c>
      <c r="E22" s="189">
        <f>SUM(B22:D22)</f>
        <v>10300</v>
      </c>
      <c r="F22" s="190">
        <f t="shared" si="1"/>
        <v>0.0013597899678501869</v>
      </c>
      <c r="H22" s="188"/>
    </row>
    <row r="23" spans="1:8" ht="12.75">
      <c r="A23" s="7" t="s">
        <v>212</v>
      </c>
      <c r="B23" s="188">
        <v>29481.96</v>
      </c>
      <c r="C23" s="188">
        <v>-179823.04</v>
      </c>
      <c r="D23" s="188">
        <v>14740.98</v>
      </c>
      <c r="E23" s="189">
        <f t="shared" si="0"/>
        <v>-135600.1</v>
      </c>
      <c r="F23" s="190">
        <f t="shared" si="1"/>
        <v>-0.017901714137813798</v>
      </c>
      <c r="H23" s="188"/>
    </row>
    <row r="24" spans="1:8" ht="12.75">
      <c r="A24" s="7" t="s">
        <v>213</v>
      </c>
      <c r="B24" s="188">
        <v>3519972.74</v>
      </c>
      <c r="C24" s="188">
        <v>2716888.84</v>
      </c>
      <c r="D24" s="188">
        <v>3280746.27</v>
      </c>
      <c r="E24" s="189">
        <f t="shared" si="0"/>
        <v>9517607.85</v>
      </c>
      <c r="F24" s="190">
        <f t="shared" si="1"/>
        <v>1.2564997740157462</v>
      </c>
      <c r="H24" s="188"/>
    </row>
    <row r="25" spans="1:8" ht="12.75">
      <c r="A25" s="7" t="s">
        <v>62</v>
      </c>
      <c r="B25" s="188">
        <v>40560</v>
      </c>
      <c r="C25" s="188">
        <v>81640</v>
      </c>
      <c r="D25" s="188"/>
      <c r="E25" s="189">
        <f t="shared" si="0"/>
        <v>122200</v>
      </c>
      <c r="F25" s="190">
        <f t="shared" si="1"/>
        <v>0.0161326537933294</v>
      </c>
      <c r="H25" s="188"/>
    </row>
    <row r="26" spans="1:8" ht="12.75">
      <c r="A26" s="7" t="s">
        <v>63</v>
      </c>
      <c r="B26" s="188">
        <v>115954.2</v>
      </c>
      <c r="C26" s="188">
        <v>65083.34</v>
      </c>
      <c r="D26" s="188">
        <v>103800</v>
      </c>
      <c r="E26" s="189">
        <f t="shared" si="0"/>
        <v>284837.54</v>
      </c>
      <c r="F26" s="190">
        <f t="shared" si="1"/>
        <v>0.03760380867564332</v>
      </c>
      <c r="H26" s="188"/>
    </row>
    <row r="27" spans="1:8" ht="12.75">
      <c r="A27" s="7" t="s">
        <v>64</v>
      </c>
      <c r="B27" s="188">
        <v>171545.78</v>
      </c>
      <c r="C27" s="188">
        <v>110088.08</v>
      </c>
      <c r="D27" s="188">
        <v>127965.04</v>
      </c>
      <c r="E27" s="189">
        <f t="shared" si="0"/>
        <v>409598.89999999997</v>
      </c>
      <c r="F27" s="190">
        <f t="shared" si="1"/>
        <v>0.05407460922936619</v>
      </c>
      <c r="H27" s="188"/>
    </row>
    <row r="28" spans="1:6" ht="12.75">
      <c r="A28" s="7" t="s">
        <v>65</v>
      </c>
      <c r="B28" s="188">
        <v>127393.5</v>
      </c>
      <c r="C28" s="188">
        <v>76889.5</v>
      </c>
      <c r="D28" s="188">
        <v>312331.75</v>
      </c>
      <c r="E28" s="189">
        <f t="shared" si="0"/>
        <v>516614.75</v>
      </c>
      <c r="F28" s="190">
        <f t="shared" si="1"/>
        <v>0.06820267517411964</v>
      </c>
    </row>
    <row r="29" spans="1:8" ht="12.75">
      <c r="A29" s="7" t="s">
        <v>66</v>
      </c>
      <c r="B29" s="188">
        <v>8797</v>
      </c>
      <c r="C29" s="188">
        <v>15137</v>
      </c>
      <c r="D29" s="188">
        <v>47416.24</v>
      </c>
      <c r="E29" s="189">
        <f t="shared" si="0"/>
        <v>71350.23999999999</v>
      </c>
      <c r="F29" s="190">
        <f t="shared" si="1"/>
        <v>0.009419547626767291</v>
      </c>
      <c r="H29" s="188"/>
    </row>
    <row r="30" spans="1:8" ht="12.75">
      <c r="A30" s="7" t="s">
        <v>67</v>
      </c>
      <c r="B30" s="188">
        <v>14954.5</v>
      </c>
      <c r="C30" s="188">
        <v>26525</v>
      </c>
      <c r="D30" s="188">
        <v>21530</v>
      </c>
      <c r="E30" s="189">
        <f t="shared" si="0"/>
        <v>63009.5</v>
      </c>
      <c r="F30" s="190">
        <f t="shared" si="1"/>
        <v>0.008318416114490907</v>
      </c>
      <c r="H30" s="188"/>
    </row>
    <row r="31" spans="1:8" ht="12.75">
      <c r="A31" s="7" t="s">
        <v>447</v>
      </c>
      <c r="B31" s="188">
        <v>200000</v>
      </c>
      <c r="C31" s="188"/>
      <c r="D31" s="188">
        <v>400000</v>
      </c>
      <c r="E31" s="189">
        <f>SUM(B31:D31)</f>
        <v>600000</v>
      </c>
      <c r="F31" s="190">
        <f t="shared" si="1"/>
        <v>0.07921106608836039</v>
      </c>
      <c r="H31" s="188"/>
    </row>
    <row r="32" spans="1:8" ht="12.75">
      <c r="A32" s="7" t="s">
        <v>391</v>
      </c>
      <c r="B32" s="188">
        <v>175775.58</v>
      </c>
      <c r="C32" s="188">
        <v>351551.16</v>
      </c>
      <c r="D32" s="188">
        <v>878877.9</v>
      </c>
      <c r="E32" s="189">
        <f>SUM(B32:D32)</f>
        <v>1406204.6400000001</v>
      </c>
      <c r="F32" s="190">
        <f t="shared" si="1"/>
        <v>0.18564494778799842</v>
      </c>
      <c r="H32" s="188"/>
    </row>
    <row r="33" spans="1:8" ht="12.75">
      <c r="A33" s="7" t="s">
        <v>379</v>
      </c>
      <c r="B33" s="188">
        <v>41743</v>
      </c>
      <c r="C33" s="188">
        <v>41743</v>
      </c>
      <c r="D33" s="188">
        <v>161743</v>
      </c>
      <c r="E33" s="189">
        <f t="shared" si="0"/>
        <v>245229</v>
      </c>
      <c r="F33" s="190">
        <f t="shared" si="1"/>
        <v>0.03237475087630422</v>
      </c>
      <c r="H33" s="188"/>
    </row>
    <row r="34" spans="1:6" ht="12.75">
      <c r="A34" s="7" t="s">
        <v>68</v>
      </c>
      <c r="B34" s="188">
        <v>27951</v>
      </c>
      <c r="C34" s="188">
        <v>23000</v>
      </c>
      <c r="D34" s="188"/>
      <c r="E34" s="189">
        <f t="shared" si="0"/>
        <v>50951</v>
      </c>
      <c r="F34" s="190">
        <f t="shared" si="1"/>
        <v>0.006726471713780084</v>
      </c>
    </row>
    <row r="35" spans="1:6" ht="12.75">
      <c r="A35" s="7" t="s">
        <v>378</v>
      </c>
      <c r="B35" s="188">
        <v>103019.4</v>
      </c>
      <c r="C35" s="188">
        <v>51509.7</v>
      </c>
      <c r="D35" s="188"/>
      <c r="E35" s="189">
        <f t="shared" si="0"/>
        <v>154529.09999999998</v>
      </c>
      <c r="F35" s="190">
        <f t="shared" si="1"/>
        <v>0.020400691254458085</v>
      </c>
    </row>
    <row r="36" spans="1:8" ht="12.75">
      <c r="A36" s="7" t="s">
        <v>69</v>
      </c>
      <c r="B36" s="188">
        <v>49497.87</v>
      </c>
      <c r="C36" s="188">
        <v>488702.09</v>
      </c>
      <c r="D36" s="188">
        <v>3282296.06</v>
      </c>
      <c r="E36" s="189">
        <f t="shared" si="0"/>
        <v>3820496.02</v>
      </c>
      <c r="F36" s="190">
        <f t="shared" si="1"/>
        <v>0.5043759378842297</v>
      </c>
      <c r="H36" s="188"/>
    </row>
    <row r="37" spans="1:8" ht="12.75">
      <c r="A37" s="7" t="s">
        <v>70</v>
      </c>
      <c r="B37" s="188">
        <v>406474.5</v>
      </c>
      <c r="C37" s="188">
        <v>489817.3</v>
      </c>
      <c r="D37" s="188">
        <v>906598.22</v>
      </c>
      <c r="E37" s="189">
        <f t="shared" si="0"/>
        <v>1802890.02</v>
      </c>
      <c r="F37" s="190">
        <f t="shared" si="1"/>
        <v>0.23801473420710897</v>
      </c>
      <c r="H37" s="188"/>
    </row>
    <row r="38" spans="1:6" ht="12.75">
      <c r="A38" s="7" t="s">
        <v>501</v>
      </c>
      <c r="B38" s="188">
        <v>6638</v>
      </c>
      <c r="C38" s="188"/>
      <c r="D38" s="188"/>
      <c r="E38" s="189">
        <f>SUM(B38:D38)</f>
        <v>6638</v>
      </c>
      <c r="F38" s="190">
        <f t="shared" si="1"/>
        <v>0.000876338427824227</v>
      </c>
    </row>
    <row r="39" spans="1:6" ht="12.75">
      <c r="A39" s="7" t="s">
        <v>171</v>
      </c>
      <c r="B39" s="188">
        <v>17166.67</v>
      </c>
      <c r="C39" s="188">
        <v>23083.33</v>
      </c>
      <c r="D39" s="188">
        <v>34800</v>
      </c>
      <c r="E39" s="189">
        <f t="shared" si="0"/>
        <v>75050</v>
      </c>
      <c r="F39" s="190">
        <f t="shared" si="1"/>
        <v>0.009907984183219079</v>
      </c>
    </row>
    <row r="40" spans="1:8" ht="12.75">
      <c r="A40" s="7"/>
      <c r="B40" s="188"/>
      <c r="C40" s="188"/>
      <c r="D40" s="188"/>
      <c r="E40" s="189"/>
      <c r="F40" s="190"/>
      <c r="H40" s="188"/>
    </row>
    <row r="41" spans="1:8" ht="12.75">
      <c r="A41" s="20" t="s">
        <v>274</v>
      </c>
      <c r="B41" s="191">
        <f>SUM(B11:B39)</f>
        <v>33864003.010000005</v>
      </c>
      <c r="C41" s="191">
        <f>SUM(C11:C39)</f>
        <v>15817191.22</v>
      </c>
      <c r="D41" s="191">
        <f>SUM(D11:D39)</f>
        <v>34174701.17999999</v>
      </c>
      <c r="E41" s="191">
        <f>SUM(E11:E39)</f>
        <v>83855895.41</v>
      </c>
      <c r="F41" s="191">
        <f>SUM(F11:F39)</f>
        <v>11.070524788700244</v>
      </c>
      <c r="G41" s="19"/>
      <c r="H41" s="117"/>
    </row>
    <row r="42" spans="2:6" ht="12.75">
      <c r="B42" s="117"/>
      <c r="C42" s="117"/>
      <c r="D42" s="117"/>
      <c r="E42" s="249"/>
      <c r="F42" s="249"/>
    </row>
    <row r="43" spans="1:7" ht="12.75" customHeight="1">
      <c r="A43" s="3" t="s">
        <v>330</v>
      </c>
      <c r="B43" s="192" t="s">
        <v>329</v>
      </c>
      <c r="C43" s="192"/>
      <c r="D43" s="192"/>
      <c r="E43" s="189"/>
      <c r="F43" s="190"/>
      <c r="G43" s="11" t="s">
        <v>23</v>
      </c>
    </row>
    <row r="44" spans="1:7" ht="12.75">
      <c r="A44" s="7" t="s">
        <v>264</v>
      </c>
      <c r="B44" s="188">
        <v>460000</v>
      </c>
      <c r="C44" s="188">
        <v>85000</v>
      </c>
      <c r="D44" s="188">
        <v>640000</v>
      </c>
      <c r="E44" s="189">
        <f>SUM(B44:D44)</f>
        <v>1185000</v>
      </c>
      <c r="F44" s="193">
        <f>(E44/$E$117)*100</f>
        <v>0.15644185552451179</v>
      </c>
      <c r="G44" s="11"/>
    </row>
    <row r="45" spans="1:7" ht="12.75">
      <c r="A45" s="7" t="s">
        <v>263</v>
      </c>
      <c r="B45" s="188">
        <v>1647000</v>
      </c>
      <c r="C45" s="188">
        <v>517483.5</v>
      </c>
      <c r="D45" s="188">
        <v>1632000</v>
      </c>
      <c r="E45" s="189">
        <f>SUM(B45:D45)</f>
        <v>3796483.5</v>
      </c>
      <c r="F45" s="193">
        <f>(E45/$E$117)*100</f>
        <v>0.5012058423697829</v>
      </c>
      <c r="G45" s="11"/>
    </row>
    <row r="46" spans="1:7" ht="12.75">
      <c r="A46" s="7" t="s">
        <v>296</v>
      </c>
      <c r="B46" s="188">
        <v>283519.8</v>
      </c>
      <c r="C46" s="188">
        <v>37000</v>
      </c>
      <c r="D46" s="188"/>
      <c r="E46" s="189">
        <f>SUM(B46:D46)</f>
        <v>320519.8</v>
      </c>
      <c r="F46" s="193">
        <f>(E46/$E$117)*100</f>
        <v>0.04231452510071342</v>
      </c>
      <c r="G46" s="11"/>
    </row>
    <row r="47" spans="1:7" ht="12.75">
      <c r="A47" s="7" t="s">
        <v>377</v>
      </c>
      <c r="B47" s="188">
        <v>102602.68</v>
      </c>
      <c r="C47" s="188">
        <v>47966.25</v>
      </c>
      <c r="D47" s="188">
        <v>28456.87</v>
      </c>
      <c r="E47" s="189">
        <f>SUM(B47:D47)</f>
        <v>179025.8</v>
      </c>
      <c r="F47" s="193">
        <f>(E47/$E$117)*100</f>
        <v>0.023634707458869315</v>
      </c>
      <c r="G47" s="11"/>
    </row>
    <row r="48" spans="1:7" ht="12.75">
      <c r="A48" s="20" t="s">
        <v>429</v>
      </c>
      <c r="B48" s="188">
        <v>111100</v>
      </c>
      <c r="C48" s="188">
        <v>4000</v>
      </c>
      <c r="D48" s="188"/>
      <c r="E48" s="189">
        <f>SUM(B48:D48)</f>
        <v>115100</v>
      </c>
      <c r="F48" s="193">
        <f>(E48/$E$117)*100</f>
        <v>0.015195322844617136</v>
      </c>
      <c r="G48" s="11" t="s">
        <v>23</v>
      </c>
    </row>
    <row r="49" spans="1:6" ht="12.75">
      <c r="A49" s="7"/>
      <c r="B49" s="188"/>
      <c r="C49" s="188"/>
      <c r="D49" s="188"/>
      <c r="E49" s="189"/>
      <c r="F49" s="193"/>
    </row>
    <row r="50" spans="1:6" ht="12.75">
      <c r="A50" s="72" t="s">
        <v>338</v>
      </c>
      <c r="B50" s="170">
        <f>SUM(B44:B48)</f>
        <v>2604222.48</v>
      </c>
      <c r="C50" s="170">
        <f>SUM(C44:C48)</f>
        <v>691449.75</v>
      </c>
      <c r="D50" s="170">
        <f>SUM(D44:D48)</f>
        <v>2300456.87</v>
      </c>
      <c r="E50" s="170">
        <f>SUM(E44:E48)</f>
        <v>5596129.1</v>
      </c>
      <c r="F50" s="170">
        <f>SUM(F44:F48)</f>
        <v>0.7387922532984945</v>
      </c>
    </row>
    <row r="51" spans="1:6" ht="12.75">
      <c r="A51" s="72"/>
      <c r="B51" s="177"/>
      <c r="C51" s="177"/>
      <c r="D51" s="177"/>
      <c r="E51" s="177"/>
      <c r="F51" s="177"/>
    </row>
    <row r="52" spans="1:6" ht="12.75">
      <c r="A52" s="72"/>
      <c r="B52" s="177"/>
      <c r="C52" s="177"/>
      <c r="D52" s="177"/>
      <c r="E52" s="177"/>
      <c r="F52" s="177"/>
    </row>
    <row r="53" spans="5:6" ht="12.75">
      <c r="E53" s="246" t="s">
        <v>10</v>
      </c>
      <c r="F53" s="246"/>
    </row>
    <row r="54" spans="1:6" ht="15">
      <c r="A54" s="245" t="s">
        <v>403</v>
      </c>
      <c r="B54" s="245"/>
      <c r="C54" s="245"/>
      <c r="D54" s="245"/>
      <c r="E54" s="245"/>
      <c r="F54" s="245"/>
    </row>
    <row r="55" spans="1:6" ht="15">
      <c r="A55" s="247" t="s">
        <v>585</v>
      </c>
      <c r="B55" s="247"/>
      <c r="C55" s="247"/>
      <c r="D55" s="247"/>
      <c r="E55" s="247"/>
      <c r="F55" s="247"/>
    </row>
    <row r="56" spans="1:6" ht="15">
      <c r="A56" s="245" t="s">
        <v>410</v>
      </c>
      <c r="B56" s="245"/>
      <c r="C56" s="245"/>
      <c r="D56" s="245"/>
      <c r="E56" s="245"/>
      <c r="F56" s="245"/>
    </row>
    <row r="57" spans="1:7" ht="15">
      <c r="A57" s="245" t="s">
        <v>490</v>
      </c>
      <c r="B57" s="245"/>
      <c r="C57" s="245"/>
      <c r="D57" s="245"/>
      <c r="E57" s="245"/>
      <c r="F57" s="245"/>
      <c r="G57" s="41"/>
    </row>
    <row r="58" spans="1:6" ht="8.25" customHeight="1">
      <c r="A58" s="19"/>
      <c r="B58" s="19"/>
      <c r="C58" s="19"/>
      <c r="D58" s="19"/>
      <c r="E58" s="19"/>
      <c r="F58" s="19"/>
    </row>
    <row r="59" spans="1:6" ht="12.75">
      <c r="A59" s="83"/>
      <c r="B59" s="83"/>
      <c r="C59" s="83"/>
      <c r="D59" s="83"/>
      <c r="E59" s="83"/>
      <c r="F59" s="3"/>
    </row>
    <row r="60" spans="1:6" ht="12.75">
      <c r="A60" s="108" t="s">
        <v>19</v>
      </c>
      <c r="B60" s="109" t="s">
        <v>487</v>
      </c>
      <c r="C60" s="109" t="s">
        <v>488</v>
      </c>
      <c r="D60" s="109" t="s">
        <v>489</v>
      </c>
      <c r="E60" s="108" t="s">
        <v>20</v>
      </c>
      <c r="F60" s="98" t="s">
        <v>21</v>
      </c>
    </row>
    <row r="61" spans="2:6" ht="12.75" customHeight="1">
      <c r="B61" s="33"/>
      <c r="C61" s="33"/>
      <c r="E61" s="33"/>
      <c r="F61" s="69"/>
    </row>
    <row r="62" spans="1:6" ht="12.75">
      <c r="A62" s="3" t="s">
        <v>333</v>
      </c>
      <c r="B62" s="33"/>
      <c r="C62" s="33"/>
      <c r="D62" s="33"/>
      <c r="E62" s="34"/>
      <c r="F62" s="71"/>
    </row>
    <row r="63" spans="1:6" ht="12.75">
      <c r="A63" s="3"/>
      <c r="B63" s="33"/>
      <c r="C63" s="33"/>
      <c r="D63" s="33"/>
      <c r="E63" s="34"/>
      <c r="F63" s="71"/>
    </row>
    <row r="64" spans="1:7" ht="12.75">
      <c r="A64" s="20" t="s">
        <v>574</v>
      </c>
      <c r="B64" s="33"/>
      <c r="C64" s="33"/>
      <c r="D64" s="33"/>
      <c r="E64" s="34"/>
      <c r="F64" s="71"/>
      <c r="G64" s="11" t="s">
        <v>23</v>
      </c>
    </row>
    <row r="65" spans="1:6" ht="12.75">
      <c r="A65" s="61" t="s">
        <v>575</v>
      </c>
      <c r="B65" s="2"/>
      <c r="C65" s="33"/>
      <c r="D65" s="33">
        <v>450000</v>
      </c>
      <c r="E65" s="189">
        <f>SUM(B65:D65)</f>
        <v>450000</v>
      </c>
      <c r="F65" s="193">
        <f>(E65/$E$117)*100</f>
        <v>0.05940829956627029</v>
      </c>
    </row>
    <row r="66" spans="1:7" ht="12.75">
      <c r="A66" s="20" t="s">
        <v>265</v>
      </c>
      <c r="B66" s="33"/>
      <c r="C66" s="33"/>
      <c r="D66" s="33"/>
      <c r="E66" s="189"/>
      <c r="F66" s="193"/>
      <c r="G66" s="11" t="s">
        <v>23</v>
      </c>
    </row>
    <row r="67" spans="1:6" ht="12.75">
      <c r="A67" s="7" t="s">
        <v>261</v>
      </c>
      <c r="B67" s="188">
        <v>70000</v>
      </c>
      <c r="C67" s="188">
        <v>33585.11</v>
      </c>
      <c r="D67" s="188"/>
      <c r="E67" s="189">
        <f>SUM(B67:D67)</f>
        <v>103585.11</v>
      </c>
      <c r="F67" s="193">
        <f>(E67/$E$117)*100</f>
        <v>0.013675144989966801</v>
      </c>
    </row>
    <row r="68" spans="1:7" ht="12.75">
      <c r="A68" s="20" t="s">
        <v>340</v>
      </c>
      <c r="B68" s="188"/>
      <c r="C68" s="188"/>
      <c r="D68" s="188"/>
      <c r="E68" s="189"/>
      <c r="F68" s="193"/>
      <c r="G68" s="11" t="s">
        <v>23</v>
      </c>
    </row>
    <row r="69" spans="1:6" ht="12.75">
      <c r="A69" s="7" t="s">
        <v>339</v>
      </c>
      <c r="B69" s="188">
        <v>11381.11</v>
      </c>
      <c r="C69" s="188"/>
      <c r="D69" s="188">
        <v>11381.11</v>
      </c>
      <c r="E69" s="189">
        <f>SUM(B69:D69)</f>
        <v>22762.22</v>
      </c>
      <c r="F69" s="193">
        <f>(E69/$E$117)*100</f>
        <v>0.003005032854562998</v>
      </c>
    </row>
    <row r="70" spans="1:7" ht="12.75">
      <c r="A70" s="237" t="s">
        <v>451</v>
      </c>
      <c r="B70" s="188"/>
      <c r="C70" s="188"/>
      <c r="D70" s="188"/>
      <c r="E70" s="189"/>
      <c r="F70" s="193"/>
      <c r="G70" s="11" t="s">
        <v>23</v>
      </c>
    </row>
    <row r="71" spans="1:7" ht="12.75">
      <c r="A71" s="7" t="s">
        <v>573</v>
      </c>
      <c r="B71" s="188"/>
      <c r="C71" s="188"/>
      <c r="D71" s="188">
        <v>58650</v>
      </c>
      <c r="E71" s="189">
        <f>SUM(B71:D71)</f>
        <v>58650</v>
      </c>
      <c r="F71" s="193">
        <f>(E71/$E$117)*100</f>
        <v>0.007742881710137229</v>
      </c>
      <c r="G71" s="11"/>
    </row>
    <row r="72" spans="1:6" ht="12.75">
      <c r="A72" s="238" t="s">
        <v>500</v>
      </c>
      <c r="B72" s="188">
        <v>240000</v>
      </c>
      <c r="C72" s="188">
        <v>239000</v>
      </c>
      <c r="D72" s="2"/>
      <c r="E72" s="189">
        <f>SUM(B72:D72)</f>
        <v>479000</v>
      </c>
      <c r="F72" s="193">
        <f>(E72/$E$117)*100</f>
        <v>0.0632368344272077</v>
      </c>
    </row>
    <row r="73" spans="1:6" ht="12.75">
      <c r="A73" s="7"/>
      <c r="B73" s="188"/>
      <c r="C73" s="188"/>
      <c r="D73" s="188"/>
      <c r="E73" s="189"/>
      <c r="F73" s="193"/>
    </row>
    <row r="74" spans="1:6" ht="12.75">
      <c r="A74" s="72" t="s">
        <v>332</v>
      </c>
      <c r="B74" s="170">
        <f>SUM(B65:B73)</f>
        <v>321381.11</v>
      </c>
      <c r="C74" s="170">
        <f>SUM(C65:C73)</f>
        <v>272585.11</v>
      </c>
      <c r="D74" s="170">
        <f>SUM(D65:D73)</f>
        <v>520031.11</v>
      </c>
      <c r="E74" s="170">
        <f>SUM(E65:E73)</f>
        <v>1113997.33</v>
      </c>
      <c r="F74" s="170">
        <f>SUM(F65:F73)</f>
        <v>0.14706819354814504</v>
      </c>
    </row>
    <row r="75" spans="1:6" ht="12.75">
      <c r="A75" s="40"/>
      <c r="B75" s="194"/>
      <c r="C75" s="194"/>
      <c r="D75" s="194"/>
      <c r="E75" s="194"/>
      <c r="F75" s="194"/>
    </row>
    <row r="76" spans="1:6" ht="12.75">
      <c r="A76" s="73" t="s">
        <v>335</v>
      </c>
      <c r="B76" s="191">
        <f>B50+B74</f>
        <v>2925603.59</v>
      </c>
      <c r="C76" s="191">
        <f>C50+C74</f>
        <v>964034.86</v>
      </c>
      <c r="D76" s="191">
        <f>D50+D74</f>
        <v>2820487.98</v>
      </c>
      <c r="E76" s="191">
        <f>E50+E74</f>
        <v>6710126.43</v>
      </c>
      <c r="F76" s="191">
        <f>F50+F74</f>
        <v>0.8858604468466396</v>
      </c>
    </row>
    <row r="77" spans="5:6" ht="12.75">
      <c r="E77" s="246"/>
      <c r="F77" s="246"/>
    </row>
    <row r="78" spans="5:6" ht="12.75">
      <c r="E78" s="246" t="s">
        <v>10</v>
      </c>
      <c r="F78" s="246"/>
    </row>
    <row r="79" spans="5:6" ht="12.75">
      <c r="E79" s="44"/>
      <c r="F79" s="44"/>
    </row>
    <row r="80" spans="1:6" ht="15">
      <c r="A80" s="245" t="s">
        <v>403</v>
      </c>
      <c r="B80" s="245"/>
      <c r="C80" s="245"/>
      <c r="D80" s="245"/>
      <c r="E80" s="245"/>
      <c r="F80" s="245"/>
    </row>
    <row r="81" spans="1:6" ht="15">
      <c r="A81" s="247" t="s">
        <v>585</v>
      </c>
      <c r="B81" s="247"/>
      <c r="C81" s="247"/>
      <c r="D81" s="247"/>
      <c r="E81" s="247"/>
      <c r="F81" s="247"/>
    </row>
    <row r="82" spans="1:6" ht="15">
      <c r="A82" s="245" t="s">
        <v>410</v>
      </c>
      <c r="B82" s="245"/>
      <c r="C82" s="245"/>
      <c r="D82" s="245"/>
      <c r="E82" s="245"/>
      <c r="F82" s="245"/>
    </row>
    <row r="83" spans="1:7" ht="15">
      <c r="A83" s="245" t="s">
        <v>490</v>
      </c>
      <c r="B83" s="245"/>
      <c r="C83" s="245"/>
      <c r="D83" s="245"/>
      <c r="E83" s="245"/>
      <c r="F83" s="245"/>
      <c r="G83" s="41"/>
    </row>
    <row r="84" spans="1:6" ht="8.25" customHeight="1">
      <c r="A84" s="19"/>
      <c r="B84" s="19"/>
      <c r="C84" s="19"/>
      <c r="D84" s="19"/>
      <c r="E84" s="19"/>
      <c r="F84" s="19"/>
    </row>
    <row r="85" spans="1:6" ht="12.75">
      <c r="A85" s="83"/>
      <c r="B85" s="83"/>
      <c r="C85" s="83"/>
      <c r="D85" s="83"/>
      <c r="E85" s="83"/>
      <c r="F85" s="3"/>
    </row>
    <row r="86" spans="1:6" ht="12.75">
      <c r="A86" s="108" t="s">
        <v>19</v>
      </c>
      <c r="B86" s="109" t="s">
        <v>487</v>
      </c>
      <c r="C86" s="109" t="s">
        <v>488</v>
      </c>
      <c r="D86" s="109" t="s">
        <v>489</v>
      </c>
      <c r="E86" s="108" t="s">
        <v>20</v>
      </c>
      <c r="F86" s="98" t="s">
        <v>21</v>
      </c>
    </row>
    <row r="87" spans="2:6" ht="12.75" customHeight="1">
      <c r="B87" s="33"/>
      <c r="C87" s="33"/>
      <c r="E87" s="33"/>
      <c r="F87" s="69"/>
    </row>
    <row r="88" spans="1:6" ht="8.25" customHeight="1">
      <c r="A88" s="7"/>
      <c r="B88" s="70"/>
      <c r="C88" s="70"/>
      <c r="D88" s="70"/>
      <c r="E88" s="34"/>
      <c r="F88" s="1"/>
    </row>
    <row r="89" spans="1:6" ht="12.75">
      <c r="A89" s="3" t="s">
        <v>331</v>
      </c>
      <c r="B89" s="33"/>
      <c r="C89" s="33"/>
      <c r="D89" s="33"/>
      <c r="E89" s="34"/>
      <c r="F89" s="71"/>
    </row>
    <row r="90" spans="1:7" ht="12.75">
      <c r="A90" s="20" t="s">
        <v>301</v>
      </c>
      <c r="B90" s="33"/>
      <c r="C90" s="33"/>
      <c r="D90" s="33"/>
      <c r="E90" s="34"/>
      <c r="G90" s="11" t="s">
        <v>23</v>
      </c>
    </row>
    <row r="91" spans="1:6" ht="12.75">
      <c r="A91" s="7" t="s">
        <v>300</v>
      </c>
      <c r="B91" s="188">
        <v>1934751.24</v>
      </c>
      <c r="C91" s="188">
        <f>1697149.39+500000</f>
        <v>2197149.3899999997</v>
      </c>
      <c r="D91" s="188">
        <v>2257391.25</v>
      </c>
      <c r="E91" s="189">
        <f>SUM(B91:D91)</f>
        <v>6389291.88</v>
      </c>
      <c r="F91" s="195">
        <f>(E91/$E$117)*100</f>
        <v>0.8435043689408407</v>
      </c>
    </row>
    <row r="92" spans="1:6" ht="12.75">
      <c r="A92" s="7" t="s">
        <v>442</v>
      </c>
      <c r="B92" s="188">
        <v>23333.34</v>
      </c>
      <c r="C92" s="188"/>
      <c r="D92" s="188">
        <v>-525201.71</v>
      </c>
      <c r="E92" s="189">
        <f>SUM(B92:D92)</f>
        <v>-501868.36999999994</v>
      </c>
      <c r="F92" s="195">
        <f>(E92/$E$117)*100</f>
        <v>-0.06625588103954617</v>
      </c>
    </row>
    <row r="93" spans="1:7" ht="12.75">
      <c r="A93" s="20" t="s">
        <v>302</v>
      </c>
      <c r="B93" s="188"/>
      <c r="C93" s="188"/>
      <c r="D93" s="188"/>
      <c r="E93" s="189"/>
      <c r="F93" s="195"/>
      <c r="G93" s="11" t="s">
        <v>23</v>
      </c>
    </row>
    <row r="94" spans="1:7" ht="12.75">
      <c r="A94" s="7" t="s">
        <v>310</v>
      </c>
      <c r="B94" s="188"/>
      <c r="C94" s="188">
        <f>29175+32705</f>
        <v>61880</v>
      </c>
      <c r="D94" s="188"/>
      <c r="E94" s="189">
        <f>SUM(B94:D94)</f>
        <v>61880</v>
      </c>
      <c r="F94" s="195">
        <f>(E94/$E$117)*100</f>
        <v>0.00816930128257957</v>
      </c>
      <c r="G94" s="11"/>
    </row>
    <row r="95" spans="1:6" ht="12.75">
      <c r="A95" s="7" t="s">
        <v>311</v>
      </c>
      <c r="B95" s="188"/>
      <c r="C95" s="188">
        <f>33692+11086+31913+5936</f>
        <v>82627</v>
      </c>
      <c r="D95" s="188"/>
      <c r="E95" s="189">
        <f>SUM(B95:D95)</f>
        <v>82627</v>
      </c>
      <c r="F95" s="195">
        <f>(E95/$E$117)*100</f>
        <v>0.01090828792947159</v>
      </c>
    </row>
    <row r="96" spans="1:6" ht="12.75">
      <c r="A96" s="7" t="s">
        <v>312</v>
      </c>
      <c r="B96" s="188"/>
      <c r="C96" s="188">
        <f>9453+16137</f>
        <v>25590</v>
      </c>
      <c r="D96" s="188"/>
      <c r="E96" s="189">
        <f>SUM(B96:D96)</f>
        <v>25590</v>
      </c>
      <c r="F96" s="195">
        <f>(E96/$E$117)*100</f>
        <v>0.0033783519686685706</v>
      </c>
    </row>
    <row r="97" spans="1:7" ht="12.75">
      <c r="A97" s="20" t="s">
        <v>260</v>
      </c>
      <c r="B97" s="188"/>
      <c r="C97" s="188"/>
      <c r="D97" s="188"/>
      <c r="E97" s="189"/>
      <c r="F97" s="195"/>
      <c r="G97" s="11" t="s">
        <v>23</v>
      </c>
    </row>
    <row r="98" spans="1:6" ht="12.75">
      <c r="A98" s="7" t="s">
        <v>262</v>
      </c>
      <c r="B98" s="188">
        <v>7300818.6</v>
      </c>
      <c r="C98" s="188">
        <v>1350463.95</v>
      </c>
      <c r="D98" s="188">
        <v>2625661.93</v>
      </c>
      <c r="E98" s="189">
        <f aca="true" t="shared" si="3" ref="E98:E103">SUM(B98:D98)</f>
        <v>11276944.479999999</v>
      </c>
      <c r="F98" s="195">
        <f aca="true" t="shared" si="4" ref="F98:F103">(E98/$E$117)*100</f>
        <v>1.4887646574667515</v>
      </c>
    </row>
    <row r="99" spans="1:7" ht="12.75">
      <c r="A99" s="7" t="s">
        <v>297</v>
      </c>
      <c r="B99" s="188">
        <v>1894099.47</v>
      </c>
      <c r="C99" s="188">
        <v>2384524.8</v>
      </c>
      <c r="D99" s="188">
        <v>3640160.93</v>
      </c>
      <c r="E99" s="189">
        <f t="shared" si="3"/>
        <v>7918785.199999999</v>
      </c>
      <c r="F99" s="195">
        <f t="shared" si="4"/>
        <v>1.0454256963612167</v>
      </c>
      <c r="G99" s="11"/>
    </row>
    <row r="100" spans="1:7" ht="12.75">
      <c r="A100" s="7" t="s">
        <v>71</v>
      </c>
      <c r="B100" s="188">
        <v>2081660.02</v>
      </c>
      <c r="C100" s="188">
        <v>2077230.41</v>
      </c>
      <c r="D100" s="188">
        <v>2112649.37</v>
      </c>
      <c r="E100" s="189">
        <f t="shared" si="3"/>
        <v>6271539.8</v>
      </c>
      <c r="F100" s="195">
        <f t="shared" si="4"/>
        <v>0.8279589226226375</v>
      </c>
      <c r="G100" s="11"/>
    </row>
    <row r="101" spans="1:7" ht="12.75">
      <c r="A101" s="7" t="s">
        <v>420</v>
      </c>
      <c r="B101" s="188">
        <v>20334.05</v>
      </c>
      <c r="C101" s="188"/>
      <c r="D101" s="188"/>
      <c r="E101" s="189">
        <f>SUM(B101:D101)</f>
        <v>20334.05</v>
      </c>
      <c r="F101" s="195">
        <f t="shared" si="4"/>
        <v>0.0026844696306567075</v>
      </c>
      <c r="G101" s="11"/>
    </row>
    <row r="102" spans="1:7" ht="12.75">
      <c r="A102" s="7" t="s">
        <v>298</v>
      </c>
      <c r="B102" s="188">
        <v>83237.24</v>
      </c>
      <c r="C102" s="188">
        <v>65000</v>
      </c>
      <c r="D102" s="188">
        <v>108068.3</v>
      </c>
      <c r="E102" s="189">
        <f t="shared" si="3"/>
        <v>256305.53999999998</v>
      </c>
      <c r="F102" s="195">
        <f t="shared" si="4"/>
        <v>0.03383705844625483</v>
      </c>
      <c r="G102" s="11"/>
    </row>
    <row r="103" spans="1:7" ht="12.75">
      <c r="A103" s="7" t="s">
        <v>299</v>
      </c>
      <c r="B103" s="188">
        <v>464022.83</v>
      </c>
      <c r="C103" s="188">
        <v>927544.61</v>
      </c>
      <c r="D103" s="188"/>
      <c r="E103" s="189">
        <f t="shared" si="3"/>
        <v>1391567.44</v>
      </c>
      <c r="F103" s="195">
        <f t="shared" si="4"/>
        <v>0.18371256742708414</v>
      </c>
      <c r="G103" s="11"/>
    </row>
    <row r="104" spans="1:7" ht="12.75">
      <c r="A104" s="20" t="s">
        <v>576</v>
      </c>
      <c r="B104" s="188"/>
      <c r="C104" s="188"/>
      <c r="D104" s="188"/>
      <c r="E104" s="189"/>
      <c r="F104" s="195"/>
      <c r="G104" s="11" t="s">
        <v>23</v>
      </c>
    </row>
    <row r="105" spans="1:7" ht="12.75">
      <c r="A105" s="7" t="s">
        <v>576</v>
      </c>
      <c r="B105" s="2"/>
      <c r="C105" s="188"/>
      <c r="D105" s="188">
        <v>106272</v>
      </c>
      <c r="E105" s="189">
        <f>SUM(C105:D105)</f>
        <v>106272</v>
      </c>
      <c r="F105" s="195">
        <f>(E105/$E$117)*100</f>
        <v>0.01402986402557039</v>
      </c>
      <c r="G105" s="11"/>
    </row>
    <row r="106" spans="1:6" ht="12.75">
      <c r="A106" s="7"/>
      <c r="B106" s="188"/>
      <c r="C106" s="188"/>
      <c r="D106" s="188"/>
      <c r="E106" s="189"/>
      <c r="F106" s="195"/>
    </row>
    <row r="107" spans="1:6" ht="12.75">
      <c r="A107" s="72" t="s">
        <v>336</v>
      </c>
      <c r="B107" s="170">
        <f>SUM(B91:B106)</f>
        <v>13802256.790000001</v>
      </c>
      <c r="C107" s="170">
        <f>SUM(C91:C106)</f>
        <v>9172010.16</v>
      </c>
      <c r="D107" s="170">
        <f>SUM(D91:D106)</f>
        <v>10325002.07</v>
      </c>
      <c r="E107" s="170">
        <f>SUM(E91:E106)</f>
        <v>33299269.02</v>
      </c>
      <c r="F107" s="196">
        <f>SUM(F91:F106)</f>
        <v>4.396117665062185</v>
      </c>
    </row>
    <row r="108" spans="2:6" ht="12.75">
      <c r="B108" s="117"/>
      <c r="C108" s="117"/>
      <c r="D108" s="117"/>
      <c r="E108" s="117"/>
      <c r="F108" s="197"/>
    </row>
    <row r="109" spans="1:7" ht="12.75">
      <c r="A109" s="20" t="s">
        <v>334</v>
      </c>
      <c r="B109" s="188"/>
      <c r="C109" s="188"/>
      <c r="D109" s="188"/>
      <c r="E109" s="189"/>
      <c r="F109" s="195"/>
      <c r="G109" s="11" t="s">
        <v>23</v>
      </c>
    </row>
    <row r="110" spans="1:6" ht="12.75">
      <c r="A110" s="7" t="s">
        <v>266</v>
      </c>
      <c r="B110" s="188">
        <v>115479180.91</v>
      </c>
      <c r="C110" s="188">
        <v>120103291.45</v>
      </c>
      <c r="D110" s="188">
        <v>113935877.99</v>
      </c>
      <c r="E110" s="189">
        <f>SUM(B110:D110)</f>
        <v>349518350.35</v>
      </c>
      <c r="F110" s="195">
        <f>(E110/$E$117)*100</f>
        <v>46.14286858111426</v>
      </c>
    </row>
    <row r="111" spans="1:6" ht="12.75">
      <c r="A111" s="7" t="s">
        <v>540</v>
      </c>
      <c r="B111" s="188"/>
      <c r="C111" s="188">
        <v>241831763.61</v>
      </c>
      <c r="D111" s="2"/>
      <c r="E111" s="189">
        <f>SUM(B111:D111)</f>
        <v>241831763.61</v>
      </c>
      <c r="F111" s="195">
        <f>(E111/$E$117)*100</f>
        <v>31.926253015960764</v>
      </c>
    </row>
    <row r="112" spans="1:7" ht="12.75">
      <c r="A112" s="7" t="s">
        <v>267</v>
      </c>
      <c r="B112" s="188">
        <v>12298.7</v>
      </c>
      <c r="C112" s="188"/>
      <c r="D112" s="188">
        <v>12263320.95</v>
      </c>
      <c r="E112" s="189">
        <f>SUM(B112:D112)</f>
        <v>12275619.649999999</v>
      </c>
      <c r="F112" s="195">
        <f>(E112/$E$117)*100</f>
        <v>1.6206081989528756</v>
      </c>
      <c r="G112" s="11"/>
    </row>
    <row r="113" spans="1:7" ht="12.75">
      <c r="A113" s="7" t="s">
        <v>268</v>
      </c>
      <c r="B113" s="188"/>
      <c r="C113" s="188"/>
      <c r="D113" s="188">
        <v>29978896.88</v>
      </c>
      <c r="E113" s="189">
        <f>SUM(B113:D113)</f>
        <v>29978896.88</v>
      </c>
      <c r="F113" s="195">
        <f>(E113/$E$117)*100</f>
        <v>3.9577673033630347</v>
      </c>
      <c r="G113" s="11"/>
    </row>
    <row r="114" spans="2:7" ht="12.75">
      <c r="B114" s="188"/>
      <c r="C114" s="188"/>
      <c r="D114" s="188"/>
      <c r="E114" s="189"/>
      <c r="F114" s="195"/>
      <c r="G114" s="11"/>
    </row>
    <row r="115" spans="1:7" ht="12.75">
      <c r="A115" s="72" t="s">
        <v>337</v>
      </c>
      <c r="B115" s="191">
        <f>SUM(B110:B113)</f>
        <v>115491479.61</v>
      </c>
      <c r="C115" s="191">
        <f>SUM(C110:C113)</f>
        <v>361935055.06</v>
      </c>
      <c r="D115" s="191">
        <f>SUM(D110:D113)</f>
        <v>156178095.82</v>
      </c>
      <c r="E115" s="191">
        <f>SUM(E110:E113)</f>
        <v>633604630.49</v>
      </c>
      <c r="F115" s="198">
        <f>SUM(F110:F113)</f>
        <v>83.64749709939093</v>
      </c>
      <c r="G115" s="11"/>
    </row>
    <row r="116" spans="1:6" ht="12.75">
      <c r="A116" s="7"/>
      <c r="B116" s="189"/>
      <c r="C116" s="189"/>
      <c r="D116" s="189"/>
      <c r="E116" s="189"/>
      <c r="F116" s="199"/>
    </row>
    <row r="117" spans="1:6" ht="13.5" thickBot="1">
      <c r="A117" s="3" t="s">
        <v>275</v>
      </c>
      <c r="B117" s="200">
        <f>SUM(B41+B76+B107+B115)</f>
        <v>166083343</v>
      </c>
      <c r="C117" s="200">
        <f>SUM(C41+C76+C107+C115)</f>
        <v>387888291.3</v>
      </c>
      <c r="D117" s="200">
        <f>SUM(D41+D76+D107+D115)</f>
        <v>203498287.04999998</v>
      </c>
      <c r="E117" s="200">
        <f>SUM(E41+E76+E107+E115)</f>
        <v>757469921.35</v>
      </c>
      <c r="F117" s="201">
        <f>SUM(F41+F76+F107+F115)</f>
        <v>100</v>
      </c>
    </row>
    <row r="118" spans="1:6" ht="13.5" thickTop="1">
      <c r="A118" s="19"/>
      <c r="B118" s="32"/>
      <c r="C118" s="32"/>
      <c r="D118" s="32"/>
      <c r="E118" s="32"/>
      <c r="F118" s="19"/>
    </row>
    <row r="128" ht="12.75">
      <c r="A128" s="10" t="s">
        <v>29</v>
      </c>
    </row>
    <row r="130" ht="12.75">
      <c r="A130" s="14" t="s">
        <v>381</v>
      </c>
    </row>
    <row r="132" ht="12.75">
      <c r="A132" s="14"/>
    </row>
  </sheetData>
  <mergeCells count="17">
    <mergeCell ref="A56:F56"/>
    <mergeCell ref="A57:F57"/>
    <mergeCell ref="A83:F83"/>
    <mergeCell ref="E77:F77"/>
    <mergeCell ref="A80:F80"/>
    <mergeCell ref="A81:F81"/>
    <mergeCell ref="A82:F82"/>
    <mergeCell ref="E78:F78"/>
    <mergeCell ref="A55:F55"/>
    <mergeCell ref="E42:F42"/>
    <mergeCell ref="A54:F54"/>
    <mergeCell ref="E53:F53"/>
    <mergeCell ref="A5:F5"/>
    <mergeCell ref="E1:F1"/>
    <mergeCell ref="A2:F2"/>
    <mergeCell ref="A3:F3"/>
    <mergeCell ref="A4:F4"/>
  </mergeCells>
  <printOptions/>
  <pageMargins left="0.7" right="0.39" top="0.58" bottom="0.55" header="0" footer="0"/>
  <pageSetup horizontalDpi="600" verticalDpi="600" orientation="portrait" scale="95" r:id="rId1"/>
  <rowBreaks count="2" manualBreakCount="2">
    <brk id="52" max="6" man="1"/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3" sqref="A3:F3"/>
    </sheetView>
  </sheetViews>
  <sheetFormatPr defaultColWidth="9.140625" defaultRowHeight="12.75"/>
  <cols>
    <col min="1" max="1" width="36.57421875" style="2" customWidth="1"/>
    <col min="2" max="2" width="11.421875" style="25" customWidth="1"/>
    <col min="3" max="3" width="10.8515625" style="25" customWidth="1"/>
    <col min="4" max="4" width="10.28125" style="25" customWidth="1"/>
    <col min="5" max="5" width="10.00390625" style="25" bestFit="1" customWidth="1"/>
    <col min="6" max="6" width="6.8515625" style="2" bestFit="1" customWidth="1"/>
    <col min="7" max="16384" width="11.421875" style="2" customWidth="1"/>
  </cols>
  <sheetData>
    <row r="1" spans="5:6" ht="12.75">
      <c r="E1" s="246" t="s">
        <v>12</v>
      </c>
      <c r="F1" s="246"/>
    </row>
    <row r="2" spans="1:6" ht="15">
      <c r="A2" s="245" t="s">
        <v>403</v>
      </c>
      <c r="B2" s="245"/>
      <c r="C2" s="245"/>
      <c r="D2" s="245"/>
      <c r="E2" s="245"/>
      <c r="F2" s="245"/>
    </row>
    <row r="3" spans="1:6" ht="15">
      <c r="A3" s="247" t="s">
        <v>585</v>
      </c>
      <c r="B3" s="247"/>
      <c r="C3" s="247"/>
      <c r="D3" s="247"/>
      <c r="E3" s="247"/>
      <c r="F3" s="247"/>
    </row>
    <row r="4" spans="1:6" ht="15">
      <c r="A4" s="245" t="s">
        <v>411</v>
      </c>
      <c r="B4" s="245"/>
      <c r="C4" s="245"/>
      <c r="D4" s="245"/>
      <c r="E4" s="245"/>
      <c r="F4" s="245"/>
    </row>
    <row r="5" spans="1:7" ht="15">
      <c r="A5" s="245" t="s">
        <v>490</v>
      </c>
      <c r="B5" s="245"/>
      <c r="C5" s="245"/>
      <c r="D5" s="245"/>
      <c r="E5" s="245"/>
      <c r="F5" s="245"/>
      <c r="G5" s="41"/>
    </row>
    <row r="6" spans="1:7" ht="15">
      <c r="A6" s="105"/>
      <c r="B6" s="105"/>
      <c r="C6" s="105"/>
      <c r="D6" s="105"/>
      <c r="E6" s="105"/>
      <c r="F6" s="105"/>
      <c r="G6" s="41"/>
    </row>
    <row r="7" spans="1:7" ht="15">
      <c r="A7" s="105"/>
      <c r="B7" s="105"/>
      <c r="C7" s="105"/>
      <c r="D7" s="105"/>
      <c r="E7" s="105"/>
      <c r="F7" s="105"/>
      <c r="G7" s="41"/>
    </row>
    <row r="8" spans="1:7" ht="15">
      <c r="A8" s="105"/>
      <c r="B8" s="105"/>
      <c r="C8" s="105"/>
      <c r="D8" s="105"/>
      <c r="E8" s="105"/>
      <c r="F8" s="105"/>
      <c r="G8" s="41"/>
    </row>
    <row r="9" spans="1:7" ht="15">
      <c r="A9" s="105"/>
      <c r="B9" s="105"/>
      <c r="C9" s="105"/>
      <c r="D9" s="105"/>
      <c r="E9" s="105"/>
      <c r="F9" s="105"/>
      <c r="G9" s="41"/>
    </row>
    <row r="10" spans="1:6" ht="12.75">
      <c r="A10" s="83"/>
      <c r="B10" s="83"/>
      <c r="C10" s="83"/>
      <c r="D10" s="83"/>
      <c r="E10" s="83"/>
      <c r="F10" s="3"/>
    </row>
    <row r="11" spans="1:6" ht="12.75">
      <c r="A11" s="108" t="s">
        <v>19</v>
      </c>
      <c r="B11" s="109" t="s">
        <v>487</v>
      </c>
      <c r="C11" s="109" t="s">
        <v>488</v>
      </c>
      <c r="D11" s="109" t="s">
        <v>489</v>
      </c>
      <c r="E11" s="108" t="s">
        <v>20</v>
      </c>
      <c r="F11" s="98" t="s">
        <v>21</v>
      </c>
    </row>
    <row r="12" spans="1:6" ht="12.75">
      <c r="A12" s="83"/>
      <c r="B12" s="83"/>
      <c r="C12" s="83"/>
      <c r="D12" s="83"/>
      <c r="E12" s="83"/>
      <c r="F12" s="3"/>
    </row>
    <row r="13" spans="2:6" ht="6" customHeight="1">
      <c r="B13" s="33"/>
      <c r="C13" s="33"/>
      <c r="E13" s="33"/>
      <c r="F13" s="69"/>
    </row>
    <row r="14" spans="1:6" ht="18.75" customHeight="1">
      <c r="A14" s="2" t="s">
        <v>462</v>
      </c>
      <c r="B14" s="188">
        <v>805</v>
      </c>
      <c r="C14" s="188"/>
      <c r="D14" s="188"/>
      <c r="E14" s="189">
        <f>SUM(B14:D14)</f>
        <v>805</v>
      </c>
      <c r="F14" s="202">
        <f>(E14/$E$20)*100</f>
        <v>0.015413130220469088</v>
      </c>
    </row>
    <row r="15" spans="1:6" ht="18.75" customHeight="1">
      <c r="A15" s="2" t="s">
        <v>480</v>
      </c>
      <c r="B15" s="188"/>
      <c r="C15" s="188"/>
      <c r="D15" s="188">
        <v>69000</v>
      </c>
      <c r="E15" s="189">
        <f>SUM(B15:D15)</f>
        <v>69000</v>
      </c>
      <c r="F15" s="202">
        <f>(E15/$E$20)*100</f>
        <v>1.321125447468779</v>
      </c>
    </row>
    <row r="16" spans="1:6" ht="18.75" customHeight="1">
      <c r="A16" s="2" t="s">
        <v>341</v>
      </c>
      <c r="B16" s="188">
        <v>2256109.04</v>
      </c>
      <c r="C16" s="188">
        <v>2622010.53</v>
      </c>
      <c r="D16" s="188">
        <v>-7200</v>
      </c>
      <c r="E16" s="189">
        <f>SUM(B16:D16)</f>
        <v>4870919.57</v>
      </c>
      <c r="F16" s="202">
        <f>(E16/$E$20)*100</f>
        <v>93.26225792029975</v>
      </c>
    </row>
    <row r="17" spans="1:6" ht="18.75" customHeight="1">
      <c r="A17" s="7" t="s">
        <v>72</v>
      </c>
      <c r="B17" s="188">
        <v>85745.82</v>
      </c>
      <c r="C17" s="188">
        <v>87704</v>
      </c>
      <c r="D17" s="188">
        <v>91723.05</v>
      </c>
      <c r="E17" s="189">
        <f>SUM(B17:D17)</f>
        <v>265172.87</v>
      </c>
      <c r="F17" s="202">
        <f>(E17/$E$20)*100</f>
        <v>5.07719748601928</v>
      </c>
    </row>
    <row r="18" spans="1:6" ht="18.75" customHeight="1">
      <c r="A18" s="7" t="s">
        <v>499</v>
      </c>
      <c r="B18" s="188">
        <v>16922.25</v>
      </c>
      <c r="C18" s="188"/>
      <c r="D18" s="188"/>
      <c r="E18" s="189">
        <f>SUM(B18:D18)</f>
        <v>16922.25</v>
      </c>
      <c r="F18" s="202">
        <f>(E18/$E$20)*100</f>
        <v>0.3240060159917181</v>
      </c>
    </row>
    <row r="19" spans="1:6" ht="18.75" customHeight="1">
      <c r="A19" s="7"/>
      <c r="B19" s="188"/>
      <c r="C19" s="188"/>
      <c r="D19" s="188"/>
      <c r="E19" s="188"/>
      <c r="F19" s="202"/>
    </row>
    <row r="20" spans="1:6" ht="18.75" customHeight="1" thickBot="1">
      <c r="A20" s="3" t="s">
        <v>126</v>
      </c>
      <c r="B20" s="203">
        <f>SUM(B14:B19)</f>
        <v>2359582.11</v>
      </c>
      <c r="C20" s="203">
        <f>SUM(C14:C19)</f>
        <v>2709714.53</v>
      </c>
      <c r="D20" s="203">
        <f>SUM(D14:D19)</f>
        <v>153523.05</v>
      </c>
      <c r="E20" s="203">
        <f>SUM(E14:E19)</f>
        <v>5222819.69</v>
      </c>
      <c r="F20" s="204">
        <f>SUM(F14:F19)</f>
        <v>99.99999999999999</v>
      </c>
    </row>
    <row r="21" ht="13.5" thickTop="1"/>
  </sheetData>
  <mergeCells count="5">
    <mergeCell ref="A5:F5"/>
    <mergeCell ref="E1:F1"/>
    <mergeCell ref="A2:F2"/>
    <mergeCell ref="A3:F3"/>
    <mergeCell ref="A4:F4"/>
  </mergeCells>
  <printOptions/>
  <pageMargins left="0.984251968503937" right="0.85" top="0.6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Contabilidad</cp:lastModifiedBy>
  <cp:lastPrinted>2008-05-20T19:23:04Z</cp:lastPrinted>
  <dcterms:created xsi:type="dcterms:W3CDTF">2003-01-28T22:37:29Z</dcterms:created>
  <dcterms:modified xsi:type="dcterms:W3CDTF">2008-05-20T19:28:08Z</dcterms:modified>
  <cp:category/>
  <cp:version/>
  <cp:contentType/>
  <cp:contentStatus/>
</cp:coreProperties>
</file>