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1580" windowHeight="6810" tabRatio="954" activeTab="0"/>
  </bookViews>
  <sheets>
    <sheet name="Flujo" sheetId="1" r:id="rId1"/>
    <sheet name="Sub" sheetId="2" r:id="rId2"/>
    <sheet name="A.Sub " sheetId="3" r:id="rId3"/>
    <sheet name="Ing.Prop" sheetId="4" r:id="rId4"/>
    <sheet name="O.Ing.Prop" sheetId="5" r:id="rId5"/>
    <sheet name="O.Ing" sheetId="6" r:id="rId6"/>
    <sheet name="Proy.Esp" sheetId="7" r:id="rId7"/>
    <sheet name="Serv.Per" sheetId="8" r:id="rId8"/>
    <sheet name="Mat.Cons" sheetId="9" r:id="rId9"/>
    <sheet name="Serv.Grals" sheetId="10" r:id="rId10"/>
    <sheet name="Gto.Comp" sheetId="11" r:id="rId11"/>
    <sheet name="G.C.Op" sheetId="12" r:id="rId12"/>
    <sheet name="G.C.Viat" sheetId="13" r:id="rId13"/>
    <sheet name="G.C.Ing.Prop" sheetId="14" r:id="rId14"/>
    <sheet name="G.C.Donat" sheetId="15" r:id="rId15"/>
    <sheet name="G.C.Etiq" sheetId="16" r:id="rId16"/>
    <sheet name="ABR08" sheetId="17" r:id="rId17"/>
  </sheets>
  <definedNames>
    <definedName name="_xlnm.Print_Area" localSheetId="0">'Flujo'!$A$1:$H$56</definedName>
    <definedName name="_xlnm.Print_Area" localSheetId="11">'G.C.Op'!$A$1:$F$159</definedName>
    <definedName name="_xlnm.Print_Area" localSheetId="10">'Gto.Comp'!$A$1:$G$56</definedName>
    <definedName name="_xlnm.Print_Area" localSheetId="3">'Ing.Prop'!$A$1:$G$56</definedName>
    <definedName name="_xlnm.Print_Area" localSheetId="5">'O.Ing'!$A$1:$G$58</definedName>
    <definedName name="_xlnm.Print_Area" localSheetId="7">'Serv.Per'!$A$1:$G$129</definedName>
    <definedName name="_xlnm.Print_Titles" localSheetId="12">'G.C.Viat'!$1:$13</definedName>
  </definedNames>
  <calcPr fullCalcOnLoad="1"/>
</workbook>
</file>

<file path=xl/sharedStrings.xml><?xml version="1.0" encoding="utf-8"?>
<sst xmlns="http://schemas.openxmlformats.org/spreadsheetml/2006/main" count="954" uniqueCount="562">
  <si>
    <t>C   O   N   C   E   P   T   O</t>
  </si>
  <si>
    <t>IMPORTE</t>
  </si>
  <si>
    <t>SUBSIDIOS</t>
  </si>
  <si>
    <t>Anexo I</t>
  </si>
  <si>
    <t>INGRESOS PROPIOS</t>
  </si>
  <si>
    <t>Anexo II</t>
  </si>
  <si>
    <t>OTROS TIPOS DE INGRESOS PROPIOS</t>
  </si>
  <si>
    <t>Anexo III</t>
  </si>
  <si>
    <t>Anexo IV</t>
  </si>
  <si>
    <t>OTROS INGRESOS</t>
  </si>
  <si>
    <t>Anexo V</t>
  </si>
  <si>
    <t xml:space="preserve">SERVICIOS PERSONALES </t>
  </si>
  <si>
    <t>Anexo VI</t>
  </si>
  <si>
    <t>MATERIALES DE CONSUMO</t>
  </si>
  <si>
    <t>Anexo VII</t>
  </si>
  <si>
    <t>SERVICIOS GENERALES</t>
  </si>
  <si>
    <t>Anexo VIII</t>
  </si>
  <si>
    <t>GASTOS A COMPROBAR</t>
  </si>
  <si>
    <t>Anexo IX</t>
  </si>
  <si>
    <t xml:space="preserve">S   u   b   c   u   e   n   t   a    </t>
  </si>
  <si>
    <t>Total</t>
  </si>
  <si>
    <t>%</t>
  </si>
  <si>
    <t>Subsidio Federal Ordinario</t>
  </si>
  <si>
    <t>1)</t>
  </si>
  <si>
    <t>2)</t>
  </si>
  <si>
    <t>Total Subsidios Federales</t>
  </si>
  <si>
    <t>Subsidio Estatal Ordinario</t>
  </si>
  <si>
    <t>3)</t>
  </si>
  <si>
    <t>Total Subsidios Estatales</t>
  </si>
  <si>
    <t>Notas:</t>
  </si>
  <si>
    <t>Anexo I-1</t>
  </si>
  <si>
    <t xml:space="preserve">Fecha </t>
  </si>
  <si>
    <t xml:space="preserve">Subsidio </t>
  </si>
  <si>
    <t>Subsidio</t>
  </si>
  <si>
    <t>de</t>
  </si>
  <si>
    <t>Inscripciones</t>
  </si>
  <si>
    <t>Pre-inscripciones</t>
  </si>
  <si>
    <t>Cuotas colegiaturas</t>
  </si>
  <si>
    <t xml:space="preserve">Cuotas laboratorio </t>
  </si>
  <si>
    <t>Cuotas deporte</t>
  </si>
  <si>
    <t xml:space="preserve">Varios </t>
  </si>
  <si>
    <t>Exámenes</t>
  </si>
  <si>
    <t xml:space="preserve">Carta de pasante en cuero </t>
  </si>
  <si>
    <t xml:space="preserve">Constancias </t>
  </si>
  <si>
    <t>Certificados</t>
  </si>
  <si>
    <t>Validación</t>
  </si>
  <si>
    <t>Expedición y reposición de credenciales</t>
  </si>
  <si>
    <t>Registro en libro de egresados</t>
  </si>
  <si>
    <t>Ingresos por clasificar</t>
  </si>
  <si>
    <t>Fideicomiso PROMEP 2001</t>
  </si>
  <si>
    <t>Intereses normales</t>
  </si>
  <si>
    <t>Total Ingresos Propios</t>
  </si>
  <si>
    <t>Cursos y diplomados</t>
  </si>
  <si>
    <t>Cuotas varias</t>
  </si>
  <si>
    <t>Cambios y bajas de escuela</t>
  </si>
  <si>
    <r>
      <t xml:space="preserve">Notas: </t>
    </r>
    <r>
      <rPr>
        <sz val="10"/>
        <rFont val="Arial"/>
        <family val="2"/>
      </rPr>
      <t xml:space="preserve">  </t>
    </r>
  </si>
  <si>
    <t>Donativos en custodia</t>
  </si>
  <si>
    <t>Proyectos especiales</t>
  </si>
  <si>
    <t>Diversos</t>
  </si>
  <si>
    <t>Nota:</t>
  </si>
  <si>
    <t>Sueldos</t>
  </si>
  <si>
    <t>Indemnizaciones</t>
  </si>
  <si>
    <t>Ayuda transporte preescolar</t>
  </si>
  <si>
    <t>Ayuda para gastos de defunción</t>
  </si>
  <si>
    <t>Ayuda para gastos médicos</t>
  </si>
  <si>
    <t>Ayuda para gastos dentales</t>
  </si>
  <si>
    <t>Ayuda para gastos ortopédicos</t>
  </si>
  <si>
    <t>Ayuda para anteojos</t>
  </si>
  <si>
    <t>Apoyo cartera deporte sindical</t>
  </si>
  <si>
    <t>Iguala por cuotas sindicales</t>
  </si>
  <si>
    <t>Formación de personal</t>
  </si>
  <si>
    <t>FONACOT</t>
  </si>
  <si>
    <t>Combustibles, lubricantes y aditivos</t>
  </si>
  <si>
    <t>Energía eléctrica</t>
  </si>
  <si>
    <t>Agua potable</t>
  </si>
  <si>
    <t>Teléfono</t>
  </si>
  <si>
    <t>Arrendamiento de inmuebles</t>
  </si>
  <si>
    <t>Mant. de equipo de transporte</t>
  </si>
  <si>
    <t>Impresiones</t>
  </si>
  <si>
    <t>Viáticos operativo</t>
  </si>
  <si>
    <t>Honorarios profesionales</t>
  </si>
  <si>
    <t>Alimentación administración general</t>
  </si>
  <si>
    <t>Exoneraciones por prestaciones</t>
  </si>
  <si>
    <t>Apoyos económicos</t>
  </si>
  <si>
    <t>Partidas por comp. a cta. de ing. propios</t>
  </si>
  <si>
    <t>Rectoría</t>
  </si>
  <si>
    <t>Dirección de Servicios Escolares</t>
  </si>
  <si>
    <t>Contraloría General</t>
  </si>
  <si>
    <t>Contraloría Académica</t>
  </si>
  <si>
    <t>Dirección General de Deportes</t>
  </si>
  <si>
    <t>Dirección General de Bibliotecas</t>
  </si>
  <si>
    <t>Dirección de Radio UAS</t>
  </si>
  <si>
    <t>Departamento de Sueldos y Salarios</t>
  </si>
  <si>
    <t>Departamento de Contabilidad General</t>
  </si>
  <si>
    <t>Fundación UAS</t>
  </si>
  <si>
    <t>Escuela de Biología Culiacán</t>
  </si>
  <si>
    <t>Escuela de Psicología</t>
  </si>
  <si>
    <t>Facultad de Contaduría y Admón. Culiacán</t>
  </si>
  <si>
    <t>Facultad de Historia</t>
  </si>
  <si>
    <t>Escuela de Economía Culiacán</t>
  </si>
  <si>
    <t>Escuela de Arquitectura Culiacán</t>
  </si>
  <si>
    <t>Escuela de Informática Culiacán</t>
  </si>
  <si>
    <t>Torre Académica Culiacán</t>
  </si>
  <si>
    <t>Escuela de Ingeniería Mazatlán</t>
  </si>
  <si>
    <t>Coord. General de PROMEP</t>
  </si>
  <si>
    <t>Facultad de Agronomía</t>
  </si>
  <si>
    <t>Facultad de Ciencias del Mar</t>
  </si>
  <si>
    <t>Escuela Preparatoria Emiliano Zapata</t>
  </si>
  <si>
    <t>Escuela Preparatoria Navolato</t>
  </si>
  <si>
    <t>Coord. Universitaria del Hospital Civil</t>
  </si>
  <si>
    <t>Centro de Investigación y Serv. Educativos</t>
  </si>
  <si>
    <t>Escuela de Biología de Culiacán</t>
  </si>
  <si>
    <t>Escuela de Derecho y Ciencias Políticas</t>
  </si>
  <si>
    <t>Escuela de Turismo Mazatlán</t>
  </si>
  <si>
    <t>Escuela de Trabajo Social Mazatlán</t>
  </si>
  <si>
    <t>Escuela de Enfermería Mazatlán</t>
  </si>
  <si>
    <t>Escuela Preparatoria Carlos Marx</t>
  </si>
  <si>
    <t>Escuela Preparatoria Central Nocturna</t>
  </si>
  <si>
    <t>Escuela Preparatoria Sandino</t>
  </si>
  <si>
    <t>Escuela Preparatoria Vladimir I. Lennin</t>
  </si>
  <si>
    <t>Escuela Preparatoria Victoria del Pueblo</t>
  </si>
  <si>
    <t>Escuela Preparatoria Valle del Carrizo</t>
  </si>
  <si>
    <t>Escuela Preparatoria El Fuerte</t>
  </si>
  <si>
    <t>Escuela Preparatoria Los Mochis</t>
  </si>
  <si>
    <t>Escuela Preparatoria Angostura</t>
  </si>
  <si>
    <t>Escuela Preparatoria Rubén Jaramillo</t>
  </si>
  <si>
    <t>Cuenta</t>
  </si>
  <si>
    <t>T o t a l</t>
  </si>
  <si>
    <t>Control</t>
  </si>
  <si>
    <t>205366-0</t>
  </si>
  <si>
    <t>8675074-4</t>
  </si>
  <si>
    <t>1018205-3</t>
  </si>
  <si>
    <t>5300-15064-1</t>
  </si>
  <si>
    <t>Fideicomiso PROMEP-2001</t>
  </si>
  <si>
    <t>100337-0</t>
  </si>
  <si>
    <t>100354-0</t>
  </si>
  <si>
    <t>PC-083/95</t>
  </si>
  <si>
    <t>Total General</t>
  </si>
  <si>
    <t xml:space="preserve">                        </t>
  </si>
  <si>
    <t>Escuela Preparatoria Antonio Rosales</t>
  </si>
  <si>
    <t>SALDO FINAL EN BANCOS</t>
  </si>
  <si>
    <t>SALDO INICIAL EN BANCOS</t>
  </si>
  <si>
    <t>Fideicomiso Pensión y Jubilación</t>
  </si>
  <si>
    <t>Fideicomiso Fondo de Jubilación</t>
  </si>
  <si>
    <t>Atención y servicios de oficina</t>
  </si>
  <si>
    <t>Banorte</t>
  </si>
  <si>
    <t>100589-0</t>
  </si>
  <si>
    <t>Fideicomiso Pensiones y Jubilados UAS</t>
  </si>
  <si>
    <t>Departamento de Auditoría Interna</t>
  </si>
  <si>
    <t>Escuela Preparatoria La Cruz</t>
  </si>
  <si>
    <t>Escuela Preparatoria Escuinapa</t>
  </si>
  <si>
    <t>Telefonía celular</t>
  </si>
  <si>
    <t>Anexo IV-1</t>
  </si>
  <si>
    <t>Anexo VIII-1</t>
  </si>
  <si>
    <t>Anexo VIII-2</t>
  </si>
  <si>
    <t>Anexo VIII-3</t>
  </si>
  <si>
    <t>Anexo VIII-4</t>
  </si>
  <si>
    <t>Anexo VIII-5</t>
  </si>
  <si>
    <t>Banco</t>
  </si>
  <si>
    <t>Partidas por comprobar viáticos</t>
  </si>
  <si>
    <t>Partidas por comprobar donativos</t>
  </si>
  <si>
    <t>Proyectos Especiales</t>
  </si>
  <si>
    <t>Escuela Preparatoria Heraclio Bernal</t>
  </si>
  <si>
    <t>Escuela de Contabilidad y Admón.Mazatlán</t>
  </si>
  <si>
    <t>Escuela Preparatoria Hnos. Flores Magon</t>
  </si>
  <si>
    <t>Escuela Preparatoria C.U.Mochis</t>
  </si>
  <si>
    <t>Escuela Preparatoria Juan José Rios</t>
  </si>
  <si>
    <t>Escuela Preparatoria Ruiz Cortinez</t>
  </si>
  <si>
    <t>Cuotas y suscripciones</t>
  </si>
  <si>
    <t>Departamento de Prestaciones Sociales</t>
  </si>
  <si>
    <t>Escuela de Ciencias de la Tierra</t>
  </si>
  <si>
    <t>Departamento Centro de Instrumentos</t>
  </si>
  <si>
    <t>Escuela Preparatoria Hermanos Flores Magón</t>
  </si>
  <si>
    <t>Seguro de vida</t>
  </si>
  <si>
    <t>Escuela de Filosofía y Letras Culiacán</t>
  </si>
  <si>
    <t>Coordinación General Zona Sur</t>
  </si>
  <si>
    <t>00154833093</t>
  </si>
  <si>
    <t>Total  Caja y Bancos</t>
  </si>
  <si>
    <t>Recepción</t>
  </si>
  <si>
    <t>Federal</t>
  </si>
  <si>
    <t>Ordinario</t>
  </si>
  <si>
    <t>Estatal</t>
  </si>
  <si>
    <t>Depositado</t>
  </si>
  <si>
    <t>Dirección General de Escuelas Preparatorias</t>
  </si>
  <si>
    <t>Dirección de Asuntos Jurídicos</t>
  </si>
  <si>
    <t>Dirección de Informática</t>
  </si>
  <si>
    <t>Dirección de Actividades Artísticas</t>
  </si>
  <si>
    <t>Dirección de Editorial</t>
  </si>
  <si>
    <t>Dirección de Servicios Estudiantiles</t>
  </si>
  <si>
    <t>Departamento de Personal</t>
  </si>
  <si>
    <t>Coordinación General Zona Norte</t>
  </si>
  <si>
    <t>Coordinación Operativa del SIIA</t>
  </si>
  <si>
    <t xml:space="preserve">Esc.de Estudios Internac.y Políticas Públicas </t>
  </si>
  <si>
    <t>Escuela Preparatoria Guasave Diurna</t>
  </si>
  <si>
    <t>Escuela Preparatoria Lázaro Cárdenas</t>
  </si>
  <si>
    <t>Escuela Preparatoria Mazatlán</t>
  </si>
  <si>
    <t>UAS Gasto Operativo</t>
  </si>
  <si>
    <t>UAS Fondo de Recuperación de Becas PROMEP</t>
  </si>
  <si>
    <t>Fondo de Garantía Para la Vivienda</t>
  </si>
  <si>
    <t>Fideicomiso para Fondo de Jubilación</t>
  </si>
  <si>
    <t>Coord. General de Investigación y Posgrado</t>
  </si>
  <si>
    <r>
      <t>1)</t>
    </r>
    <r>
      <rPr>
        <sz val="8"/>
        <rFont val="Arial"/>
        <family val="2"/>
      </rPr>
      <t xml:space="preserve"> Partidas pendientes de reclasificar a su  ingreso correspondiente. </t>
    </r>
  </si>
  <si>
    <t>Colegiaturas El Fuerte</t>
  </si>
  <si>
    <t>Inversión Creciente (Inversiones)</t>
  </si>
  <si>
    <t>U.A.S. Maestría E.U.A. y Canadá (Dlls.)</t>
  </si>
  <si>
    <t>Total de Inversiones Disponibles</t>
  </si>
  <si>
    <t>Recursos en Fideicomisos y Cuentas para Proyectos Específicos</t>
  </si>
  <si>
    <t>UAS Proyectos Diversos (Dlls.)</t>
  </si>
  <si>
    <t>Total de Recursos en Fideicomisos</t>
  </si>
  <si>
    <t xml:space="preserve">T o t a l </t>
  </si>
  <si>
    <t>Total Ingresos por Subsidios</t>
  </si>
  <si>
    <t xml:space="preserve">Título en cuero </t>
  </si>
  <si>
    <t>Trámite de cédula profesional</t>
  </si>
  <si>
    <t>Intereses Ganados</t>
  </si>
  <si>
    <t>Estímulo al desempeño académico</t>
  </si>
  <si>
    <t>Prima de antigüedad por jubilación</t>
  </si>
  <si>
    <t>Secretaría General</t>
  </si>
  <si>
    <t>Coordinación General de Invest. y Posgrado</t>
  </si>
  <si>
    <t>Coord. de Doctorado en Ciencias Sociales</t>
  </si>
  <si>
    <t>Inversiones Disponibles</t>
  </si>
  <si>
    <t>Nombre  de  la  Cuenta</t>
  </si>
  <si>
    <t>Partidas por comprobar gasto operativo</t>
  </si>
  <si>
    <t>Partidas por comprobar gasto etiquetado</t>
  </si>
  <si>
    <t>Coord. General de Asesores de Rectoría</t>
  </si>
  <si>
    <t>Dirección General de Recursos Humanos</t>
  </si>
  <si>
    <t>Centro de Investigación y Servicios Educativos</t>
  </si>
  <si>
    <t>Coord. General de Planeación y Desarrollo</t>
  </si>
  <si>
    <t>Coord. General de Extensión Cultural y Servicios</t>
  </si>
  <si>
    <t>Dirección de Intercambio y Vinc. Académica</t>
  </si>
  <si>
    <t>Dirección de Comunicación Social</t>
  </si>
  <si>
    <t>Dirección de Control Bienes e Inventarios</t>
  </si>
  <si>
    <t>Dirección de Construcción y Mantenimiento</t>
  </si>
  <si>
    <t>Facultad de Ciencias Químico Biológicas</t>
  </si>
  <si>
    <t>Escuela Preparatoria Concordia</t>
  </si>
  <si>
    <t>Escuela de Ciencias Económicas y Admvas.</t>
  </si>
  <si>
    <t>Escuela de Derecho Mazatlán</t>
  </si>
  <si>
    <t>Coordinación Universitaria del Hospital Civil</t>
  </si>
  <si>
    <t>Santander Serfin</t>
  </si>
  <si>
    <t>BBVA Bancomer</t>
  </si>
  <si>
    <t>HSBC</t>
  </si>
  <si>
    <t>Banamex</t>
  </si>
  <si>
    <t>Scotiabank Inverlat</t>
  </si>
  <si>
    <t>Escuela Superior de Trabajo Social Culiacán</t>
  </si>
  <si>
    <t>UAS Control</t>
  </si>
  <si>
    <t>UAS Colegiatura Ingresos Propios</t>
  </si>
  <si>
    <t>Escuela de Ciencias Computacionales</t>
  </si>
  <si>
    <t>00176690748</t>
  </si>
  <si>
    <t>Departamento de Archivo General</t>
  </si>
  <si>
    <t>Escuela Preparatoria Genaro Vázquez Rojas</t>
  </si>
  <si>
    <t>Centro de Idiomas Culiacán</t>
  </si>
  <si>
    <t>Escuela de Enfermería Los Mochis</t>
  </si>
  <si>
    <t>Coordinación General Zona Centro Norte</t>
  </si>
  <si>
    <t>Coordinación Académica Zona Norte</t>
  </si>
  <si>
    <t>Escuela Preparatoria San Blas</t>
  </si>
  <si>
    <t>Coord. General de Acceso a la Información Pública</t>
  </si>
  <si>
    <t>Escuela Preparatoria La Reforma</t>
  </si>
  <si>
    <t>Escuela de Derecho Guasave</t>
  </si>
  <si>
    <t>Facultad de Medicina Culiacán</t>
  </si>
  <si>
    <t>Seguridad para resguardo de valores</t>
  </si>
  <si>
    <t>Representación de la UAS en México</t>
  </si>
  <si>
    <t>Retenciones por Pagar</t>
  </si>
  <si>
    <t>Reposición de cheques de caja cta. puente</t>
  </si>
  <si>
    <t xml:space="preserve"> Cuotas sindicato</t>
  </si>
  <si>
    <t>Fondo alternativo</t>
  </si>
  <si>
    <t>Fondo revolvente</t>
  </si>
  <si>
    <t>Reposición de Cheques de Caja cta. puente</t>
  </si>
  <si>
    <t>Trasp.bancarios por liquidez (Sueldos)</t>
  </si>
  <si>
    <t>Trasp.bancarios por liquidez (Prog.de ret.)</t>
  </si>
  <si>
    <t>Trasp.bancarios por liquidez (Carrera docente)</t>
  </si>
  <si>
    <t>00188381414</t>
  </si>
  <si>
    <t>UAS Inversiones</t>
  </si>
  <si>
    <t>UAS Ingresos Caja General</t>
  </si>
  <si>
    <t>Subtotal Ingresos Propios</t>
  </si>
  <si>
    <t>Total Intereses Generados</t>
  </si>
  <si>
    <t>Subtotal Servicios Personales</t>
  </si>
  <si>
    <t>Total Servicios Personales</t>
  </si>
  <si>
    <t>S u b t o t a l</t>
  </si>
  <si>
    <t>Caja General</t>
  </si>
  <si>
    <t>Dirección de Servicio Social Universitario</t>
  </si>
  <si>
    <t>Escuela Preparatoria Dr.Salvador Allende</t>
  </si>
  <si>
    <t>Coordinación General de PROMEP</t>
  </si>
  <si>
    <t>Facultad de Medicina de Culiacán</t>
  </si>
  <si>
    <t>Facultad de Medicina Veterinaria y Zootecnia</t>
  </si>
  <si>
    <t>Facultad de Odontología Culiacán</t>
  </si>
  <si>
    <t>Facultad de Derecho y Ciencias Soc. Culiacán</t>
  </si>
  <si>
    <t>Facultad de Ingeniería Culiacán</t>
  </si>
  <si>
    <t>Escuela de Ingeniería Los Mochis</t>
  </si>
  <si>
    <t>Facultad de Ciencias Sociales Mazatlán</t>
  </si>
  <si>
    <t>Escuela Preparatoria Víctor Manuel Tirado L.</t>
  </si>
  <si>
    <t>Centro de Idiomas Los Mochis</t>
  </si>
  <si>
    <t>Centro de Idiomas Guasave</t>
  </si>
  <si>
    <t>Centro de Idiomas Mazatlán</t>
  </si>
  <si>
    <t>Fideicomiso PIFIEMS 2004</t>
  </si>
  <si>
    <t>Escuela de Música</t>
  </si>
  <si>
    <t>Comisiones bancarias</t>
  </si>
  <si>
    <t>Estacionamientos</t>
  </si>
  <si>
    <t>Anticipo a cuenta de aguinaldo</t>
  </si>
  <si>
    <t xml:space="preserve"> Cuotas generales</t>
  </si>
  <si>
    <t>Embargo judicial</t>
  </si>
  <si>
    <t>Descuentos bancos</t>
  </si>
  <si>
    <t>Bonos (Material didáctico por documentar)</t>
  </si>
  <si>
    <t>Acreedores diversos</t>
  </si>
  <si>
    <t>Impuestos por Pagar</t>
  </si>
  <si>
    <t>00188381384</t>
  </si>
  <si>
    <t>Proyectos Diversos</t>
  </si>
  <si>
    <t>2000677-001</t>
  </si>
  <si>
    <t>PIFIEMS 2004</t>
  </si>
  <si>
    <t>Consultas médicas</t>
  </si>
  <si>
    <t>Entrega de donativos en custodia efectivo</t>
  </si>
  <si>
    <t>Antigüedad</t>
  </si>
  <si>
    <t>ISR</t>
  </si>
  <si>
    <t>ISR ret. 10%</t>
  </si>
  <si>
    <t>IVA ret. 10%</t>
  </si>
  <si>
    <t xml:space="preserve">Cuentas de Cheques     </t>
  </si>
  <si>
    <t>4)</t>
  </si>
  <si>
    <t>5)</t>
  </si>
  <si>
    <t>6)</t>
  </si>
  <si>
    <t>65501752447</t>
  </si>
  <si>
    <t>DE ANEXO</t>
  </si>
  <si>
    <t>NUMERO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</si>
  <si>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</si>
  <si>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</si>
  <si>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</si>
  <si>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</si>
  <si>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</si>
  <si>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</si>
  <si>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</si>
  <si>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</si>
  <si>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</si>
  <si>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CUENTAS POR COBRAR</t>
  </si>
  <si>
    <t>CUENTAS POR PAGAR</t>
  </si>
  <si>
    <t>Subtotal</t>
  </si>
  <si>
    <t>ADQUISICIONES Y OTROS</t>
  </si>
  <si>
    <t>Traspasos bancarios</t>
  </si>
  <si>
    <t>Subtotal cuentas por cobrar y adquisiciones</t>
  </si>
  <si>
    <t>Subtotal cuentas por pagar</t>
  </si>
  <si>
    <t>Subtotal por traspasos bancarios</t>
  </si>
  <si>
    <t>Subtotal cuentas por cobrar</t>
  </si>
  <si>
    <t>Terrenos</t>
  </si>
  <si>
    <t>Bienes Inmuebles</t>
  </si>
  <si>
    <t>Alimentación (casas asistenciales)</t>
  </si>
  <si>
    <t>Devolución de ingresos institucionales</t>
  </si>
  <si>
    <t>Dirección de Control de Bienes e Inventarios</t>
  </si>
  <si>
    <t>Centro de Computo Universitario</t>
  </si>
  <si>
    <t>Escuela Preparatoria Central Diurna</t>
  </si>
  <si>
    <t>UAS Colegiaturas La Cruz</t>
  </si>
  <si>
    <t>Fideicomiso FAM 2005</t>
  </si>
  <si>
    <t>UAS-Control 2005</t>
  </si>
  <si>
    <t>2000789-001</t>
  </si>
  <si>
    <t>Torre Académica Mazatlán</t>
  </si>
  <si>
    <t>Exoneraciones por apoyos</t>
  </si>
  <si>
    <t>Escuela Preparatoria Choix</t>
  </si>
  <si>
    <t>Coord. General Zona Centro B</t>
  </si>
  <si>
    <t>Centro de Cómputo Universitario</t>
  </si>
  <si>
    <t>Coordinación General Zona Centro Norte Guasave</t>
  </si>
  <si>
    <t>Coordinación Académica Zona Sur</t>
  </si>
  <si>
    <t>Fideicomiso Fondo de Equidad 2005</t>
  </si>
  <si>
    <t>Fideicomiso PIFI 3.2</t>
  </si>
  <si>
    <t>Fideicomiso PIFI  3.2</t>
  </si>
  <si>
    <t>2000923-000</t>
  </si>
  <si>
    <t>2000924-000</t>
  </si>
  <si>
    <t>Publicaciones</t>
  </si>
  <si>
    <t>UAS-Fondo de Equidad 2005</t>
  </si>
  <si>
    <r>
      <t xml:space="preserve">1.- </t>
    </r>
    <r>
      <rPr>
        <sz val="8"/>
        <rFont val="Arial"/>
        <family val="2"/>
      </rPr>
      <t>Cuentas bancarias de la administración anterior canceladas, que siguen apareciendo con saldo  en libros.</t>
    </r>
  </si>
  <si>
    <r>
      <t xml:space="preserve">2.- </t>
    </r>
    <r>
      <rPr>
        <sz val="8"/>
        <rFont val="Arial"/>
        <family val="2"/>
      </rPr>
      <t>Cuentas bancarias de la administración anterior bloqueadas por el INFONAVIT.</t>
    </r>
  </si>
  <si>
    <t>Escuela Preparatoria Guamúchil</t>
  </si>
  <si>
    <t>Escuela de Idiomas Guamúchil</t>
  </si>
  <si>
    <t>Instituto de Investigaciones Económico y Sociales</t>
  </si>
  <si>
    <t>Jardín de Niños</t>
  </si>
  <si>
    <t>UNIVERSIDAD AUTÓNOMA DE SINALOA</t>
  </si>
  <si>
    <t>UAS-Ingresos Especiales</t>
  </si>
  <si>
    <t xml:space="preserve">Escuela Prep.8 de Julio </t>
  </si>
  <si>
    <t>Escuela Preparatoria Semiescolarizada</t>
  </si>
  <si>
    <t>Difusión</t>
  </si>
  <si>
    <t>Anticipo a estímulo carrera docente</t>
  </si>
  <si>
    <t>Apoyo cartera asuntos académicos sindical</t>
  </si>
  <si>
    <t>Apoyo cartera educación sindical</t>
  </si>
  <si>
    <r>
      <t>1)</t>
    </r>
    <r>
      <rPr>
        <sz val="8"/>
        <rFont val="Arial"/>
        <family val="2"/>
      </rPr>
      <t xml:space="preserve"> Cuentas de pasivo incluidas en la Relación de Pagos por Servicios Personales, por representar salidas    de efectivo.</t>
    </r>
  </si>
  <si>
    <t>Depto. de Control de Becas al Desempeño Acad.</t>
  </si>
  <si>
    <t>Escuela Superior de Agricultura del Valle del Fte.</t>
  </si>
  <si>
    <t>Escuela de Admón. Agropecuaria y Desarrollo R.</t>
  </si>
  <si>
    <t>00174966056</t>
  </si>
  <si>
    <t>Liquidación por renuncia voluntaria</t>
  </si>
  <si>
    <t>Cuota alberca olímpica</t>
  </si>
  <si>
    <t>Fideicomiso FAM 2006</t>
  </si>
  <si>
    <t>2001073-001</t>
  </si>
  <si>
    <t>Ayuda para educación</t>
  </si>
  <si>
    <t>MAS:</t>
  </si>
  <si>
    <t>INGRESOS DEL PERIODO:</t>
  </si>
  <si>
    <t>MENOS:</t>
  </si>
  <si>
    <t>EGRESOS DEL PERIODO:</t>
  </si>
  <si>
    <t>$</t>
  </si>
  <si>
    <t>ESTADO DE FLUJO DE EFECTIVO POR EL PERIODO</t>
  </si>
  <si>
    <r>
      <t>1)</t>
    </r>
    <r>
      <rPr>
        <sz val="10"/>
        <rFont val="Arial"/>
        <family val="0"/>
      </rPr>
      <t xml:space="preserve"> Este anexo se analiza detalladamente en los anexos </t>
    </r>
    <r>
      <rPr>
        <b/>
        <sz val="10"/>
        <rFont val="Arial"/>
        <family val="2"/>
      </rPr>
      <t>VIII-1</t>
    </r>
    <r>
      <rPr>
        <sz val="10"/>
        <rFont val="Arial"/>
        <family val="0"/>
      </rPr>
      <t xml:space="preserve"> al </t>
    </r>
    <r>
      <rPr>
        <b/>
        <sz val="10"/>
        <rFont val="Arial"/>
        <family val="2"/>
      </rPr>
      <t>VIII-5</t>
    </r>
  </si>
  <si>
    <t>Facultad de Derecho y Ciencias Soc. Cln.</t>
  </si>
  <si>
    <t>Escuela de Superior de Educ.Física Cln.</t>
  </si>
  <si>
    <t>Escuela de Estudios Intern.y Políticas Púb.</t>
  </si>
  <si>
    <t>Escuela de Admón. Agrop.y Desarrollo</t>
  </si>
  <si>
    <t>UNIVERSIDAD AUTONOMA DE SINALOA</t>
  </si>
  <si>
    <t>RELACION DE INGRESOS POR SUBSIDIOS</t>
  </si>
  <si>
    <t>ANALISIS DE INGRESOS POR SUBSIDIOS</t>
  </si>
  <si>
    <t>RELACION DE INGRESOS PROPIOS</t>
  </si>
  <si>
    <t>RELACION DE OTROS TIPOS DE INGRESOS PROPIOS</t>
  </si>
  <si>
    <t>RELACION DE OTROS INGRESOS</t>
  </si>
  <si>
    <t>ANALISIS DE INGRESOS POR PROYECTOS ESPECIALES</t>
  </si>
  <si>
    <t>RELACION DE PAGOS POR SERVICIOS PERSONALES</t>
  </si>
  <si>
    <t>RELACION DE PAGOS POR MATERIALES DE CONSUMO</t>
  </si>
  <si>
    <t>RELACION DE PAGOS POR SERVICIOS GENERALES</t>
  </si>
  <si>
    <t>RELACIN DE PARTIDAS POR COMPROBAR</t>
  </si>
  <si>
    <t>RELACION DE PARTIDAS POR COMPROBAR GASTO OPERATIVO</t>
  </si>
  <si>
    <t>RELACION DE PARTIDAS POR COMPROBAR VIATICOS</t>
  </si>
  <si>
    <t>RELACION DE PARTIDAS POR COMPROBAR A CUENTA DE INGRESOS PROPIOS</t>
  </si>
  <si>
    <t>RELACION DE PARTIDAS  POR COMPROBAR A CUENTA DE INGRESOS PROPIOS</t>
  </si>
  <si>
    <t>RELACION DE PARTIDAS POR COMPROBAR DONATIVOS</t>
  </si>
  <si>
    <t>RELACION DE PARTIDAS POR COMPROBAR GASTO ETIQUETADO</t>
  </si>
  <si>
    <t>Escuela de Artes Plásticas</t>
  </si>
  <si>
    <t>Becas a estudiantes</t>
  </si>
  <si>
    <t>Secretaría Administrativa de Rectoría</t>
  </si>
  <si>
    <t>Secretaría Académica de Rectoría</t>
  </si>
  <si>
    <t>Servicios varios</t>
  </si>
  <si>
    <t>Específico</t>
  </si>
  <si>
    <t>Evento cultural</t>
  </si>
  <si>
    <t>Renta de otros espacios</t>
  </si>
  <si>
    <t>Anticipo a descuentos retenidos</t>
  </si>
  <si>
    <t>Subsidio Federal Específico</t>
  </si>
  <si>
    <t>1/3</t>
  </si>
  <si>
    <t>2/3</t>
  </si>
  <si>
    <t>3/3</t>
  </si>
  <si>
    <t>1/1</t>
  </si>
  <si>
    <t>1/2</t>
  </si>
  <si>
    <t>2/2</t>
  </si>
  <si>
    <t>Casa de la cultura CEUDIC</t>
  </si>
  <si>
    <t>Asesorías</t>
  </si>
  <si>
    <t>Fideicomiso PIFI 3.3</t>
  </si>
  <si>
    <t>Desistimiento de embargo</t>
  </si>
  <si>
    <t>Infonavit</t>
  </si>
  <si>
    <t>Retiro</t>
  </si>
  <si>
    <t>Cesantia y vejez</t>
  </si>
  <si>
    <t>IMSS patronal</t>
  </si>
  <si>
    <t>Compensación de salario</t>
  </si>
  <si>
    <t>Seguro de vida académicos</t>
  </si>
  <si>
    <t>Depto.de Servicios Asistenciales Estudiantiles Gve.</t>
  </si>
  <si>
    <t>Mobiliario y Equipo</t>
  </si>
  <si>
    <t xml:space="preserve">Asociación de Usuarios y Productores Agrícolas </t>
  </si>
  <si>
    <t>Coordinación Administrativa Zona Norte</t>
  </si>
  <si>
    <t xml:space="preserve">Escuela Preparatoria Mazatlán </t>
  </si>
  <si>
    <t>Departamento de Legalización</t>
  </si>
  <si>
    <t>Evento social</t>
  </si>
  <si>
    <t>Facultad de Informática Mazatlán</t>
  </si>
  <si>
    <t>Asesorías, estudios e investigaciones</t>
  </si>
  <si>
    <r>
      <t>1)</t>
    </r>
    <r>
      <rPr>
        <sz val="8"/>
        <rFont val="Arial"/>
        <family val="2"/>
      </rPr>
      <t xml:space="preserve"> Se analiza detalladamente en el anexo </t>
    </r>
    <r>
      <rPr>
        <b/>
        <sz val="8"/>
        <rFont val="Arial"/>
        <family val="2"/>
      </rPr>
      <t>IV-1</t>
    </r>
  </si>
  <si>
    <t>Coordinación Gral. de Inv. Y Posgrado Zona Norte</t>
  </si>
  <si>
    <t>Departamento de Deportes Centro Norte</t>
  </si>
  <si>
    <t>Escuela de Trabajo Social Los Mochis</t>
  </si>
  <si>
    <t>Departamento de Deportes Zona Sur</t>
  </si>
  <si>
    <t>Prima vacacional</t>
  </si>
  <si>
    <t>Excedente de ingresos y/o egresos de ejercicios anteriores</t>
  </si>
  <si>
    <t>Mant. de edif., jardinerías y u. deportivas</t>
  </si>
  <si>
    <t>Comisión Nacional de Acuacultura y Pesca</t>
  </si>
  <si>
    <t>Secretaría de Administración y Finanzas</t>
  </si>
  <si>
    <t>Escuela Preparatoria Guamuchil</t>
  </si>
  <si>
    <t>Escuela de Ciencias Fisico Matemáticas</t>
  </si>
  <si>
    <t>Agua Purificada</t>
  </si>
  <si>
    <t>Evento académico</t>
  </si>
  <si>
    <t>Prestamos a Patronatos UAS</t>
  </si>
  <si>
    <t>Aguinaldo</t>
  </si>
  <si>
    <t>100957-1</t>
  </si>
  <si>
    <t>Fideicomiso Reserva. P/Problemas Estructurales</t>
  </si>
  <si>
    <t>Ejercicio 2005</t>
  </si>
  <si>
    <t>SUNTUAS Administrativo</t>
  </si>
  <si>
    <t>Departamento de Servicios Escolares Zona Norte</t>
  </si>
  <si>
    <t>Escuela de Enfermería Culiacán</t>
  </si>
  <si>
    <t>Escuela Preparatoria 02 de Octubre</t>
  </si>
  <si>
    <t>Donativos</t>
  </si>
  <si>
    <t>Evento deportivo</t>
  </si>
  <si>
    <t xml:space="preserve">       dragado en el sistema Huizache-Caimanero, Municipios Mazatlan y El Rosario Sinaloa.</t>
  </si>
  <si>
    <t xml:space="preserve">       (eichhornia crassipes) en los distritos de riego 010 y 074.</t>
  </si>
  <si>
    <t>Donaciones</t>
  </si>
  <si>
    <t>Fideicomiso Minera Cosala</t>
  </si>
  <si>
    <t>Banco del Bajio</t>
  </si>
  <si>
    <t>Inversiones UAS Minera de Cosala</t>
  </si>
  <si>
    <t>6150-01-85</t>
  </si>
  <si>
    <t>Instituto Mexicano de Tecnología del Agua</t>
  </si>
  <si>
    <t>Febrero</t>
  </si>
  <si>
    <t>Marzo</t>
  </si>
  <si>
    <t>DEL 01 DE ENERO AL 31 DE MARZO DE 2008</t>
  </si>
  <si>
    <t>Febrero 2008</t>
  </si>
  <si>
    <t>10 de Marzo</t>
  </si>
  <si>
    <t>13 de Marzo</t>
  </si>
  <si>
    <t>Marzo 2008</t>
  </si>
  <si>
    <t>Incapacidades</t>
  </si>
  <si>
    <t>Fideicomiso FAM 2007</t>
  </si>
  <si>
    <t>Contraloría Estudiantil</t>
  </si>
  <si>
    <t>Departamento de Bibliotecas Mazatlan</t>
  </si>
  <si>
    <t>Facultad de Psicología</t>
  </si>
  <si>
    <t>2001336-001</t>
  </si>
  <si>
    <t>27 de Febrero</t>
  </si>
  <si>
    <t>07 de Febrero</t>
  </si>
  <si>
    <t>12 de Febrero</t>
  </si>
  <si>
    <t>18 de Febrero</t>
  </si>
  <si>
    <t>Servicios específicos</t>
  </si>
  <si>
    <t>Renta de cafetería</t>
  </si>
  <si>
    <t>Fideicomiso PIFI 2007</t>
  </si>
  <si>
    <t>SUNTUAS Administrativo Zona Norte</t>
  </si>
  <si>
    <t>Departamento de Deportes Los Mochis</t>
  </si>
  <si>
    <t>Departamento de Prestaciones Sociales Mazatlán</t>
  </si>
  <si>
    <t>Escuela de Ingenieria Los Mochis</t>
  </si>
  <si>
    <t>Unidad Académica de Negocios</t>
  </si>
  <si>
    <t>Dirección de Deportes</t>
  </si>
  <si>
    <t>Escuela de Economía</t>
  </si>
  <si>
    <t>Estadio/Gimnacio Raul González</t>
  </si>
  <si>
    <t>Dirección General de Esc. Preparatorias Mazatlán</t>
  </si>
  <si>
    <t>Escuela Preparatoria Vladimir I. Lenin</t>
  </si>
  <si>
    <t>Departamento de Comunicación Social Zona Sur</t>
  </si>
  <si>
    <t>Facultad de Ingeniería Los Mochis</t>
  </si>
  <si>
    <t>Ayuda para impresión de tesis</t>
  </si>
  <si>
    <t>Inversión Creciente (Ingresos especiales)</t>
  </si>
  <si>
    <t>09 de Marzo</t>
  </si>
  <si>
    <t>Anticipo a cuenta de prima vacacional</t>
  </si>
  <si>
    <t>Impartición de cursos, diplomados, etc.</t>
  </si>
  <si>
    <t>Abril</t>
  </si>
  <si>
    <t>María Haws, PH. D. Principal Investigator, PD/A CRSP Project.</t>
  </si>
  <si>
    <r>
      <t xml:space="preserve">1).- </t>
    </r>
    <r>
      <rPr>
        <sz val="8"/>
        <rFont val="Arial"/>
        <family val="2"/>
      </rPr>
      <t>Seven transfer of founds subcontract to UAS for PD/A CRSP-Project "Human health impacts and acuaculture 2007-2009"</t>
    </r>
  </si>
  <si>
    <r>
      <t>2).-</t>
    </r>
    <r>
      <rPr>
        <sz val="8"/>
        <rFont val="Arial"/>
        <family val="2"/>
      </rPr>
      <t xml:space="preserve"> Convenio IMTA/RD/UAS/ESA/0708 "Aplicación de BENCHMARKING para la evaluación del desempeño de modulos de riego.</t>
    </r>
  </si>
  <si>
    <r>
      <t xml:space="preserve">3).- </t>
    </r>
    <r>
      <rPr>
        <sz val="8"/>
        <rFont val="Arial"/>
        <family val="2"/>
      </rPr>
      <t xml:space="preserve">Cuarta ministración del proyecto "Recuperación de las zonas de tiro impactadas como consecuencia de las obras de </t>
    </r>
  </si>
  <si>
    <r>
      <t>4).-</t>
    </r>
    <r>
      <rPr>
        <sz val="8"/>
        <rFont val="Arial"/>
        <family val="2"/>
      </rPr>
      <t xml:space="preserve"> Apoyo para el Proyecto "Investigación y desarrollo del control biológico de lechuguilla (pista stratiotes) y lirio acuático </t>
    </r>
  </si>
  <si>
    <t>Dirección de Imprenta Universitaria</t>
  </si>
  <si>
    <t>Departamento de Bibliotecas Los Mochis</t>
  </si>
  <si>
    <t>10 de Abril</t>
  </si>
  <si>
    <t>Abril 2008</t>
  </si>
  <si>
    <t>COMPRENDIDO DEL 01 DE FEBRERO  AL 30 DE ABRIL  DE 2008</t>
  </si>
  <si>
    <t>DEL 01 DE FEBRERO AL 30 DE ABRIL DE 2008</t>
  </si>
  <si>
    <t>SALDO EN BANCOS E INVERSIONES AL 30 DE ABRIL DE 2008</t>
  </si>
  <si>
    <t>Igualas fideicomiso jubilación</t>
  </si>
  <si>
    <t>Diverso mobiliario y equipo de oficina</t>
  </si>
  <si>
    <t>Aportación al fideicomiso para la jubilación dinámica</t>
  </si>
  <si>
    <t>Gastos de representación</t>
  </si>
  <si>
    <t>Planta de purificación de agua</t>
  </si>
  <si>
    <t>Otros arrendamientos</t>
  </si>
  <si>
    <t>04 de Abril</t>
  </si>
  <si>
    <t>17 de Abril</t>
  </si>
  <si>
    <t>30 de Abril</t>
  </si>
  <si>
    <t>Extraordinario</t>
  </si>
  <si>
    <t>Subsidio Federal Extraordinario</t>
  </si>
  <si>
    <r>
      <t>3.-</t>
    </r>
    <r>
      <rPr>
        <sz val="8"/>
        <rFont val="Arial"/>
        <family val="2"/>
      </rPr>
      <t xml:space="preserve"> Equivale a $ 1,438.05 dlls. al tipo de cambio de $ 10.51 pesos.</t>
    </r>
  </si>
  <si>
    <r>
      <t>4.</t>
    </r>
    <r>
      <rPr>
        <sz val="8"/>
        <rFont val="Arial"/>
        <family val="2"/>
      </rPr>
      <t xml:space="preserve">- Equivale a $ 68,514.44 dlls. al tipo de cambio de $ 10.51 pesos.  </t>
    </r>
  </si>
  <si>
    <r>
      <t>5.</t>
    </r>
    <r>
      <rPr>
        <sz val="8"/>
        <rFont val="Arial"/>
        <family val="2"/>
      </rPr>
      <t xml:space="preserve">- Equivale a $ 35,464.92 dlls. al tipo de cambio de $ 10.51 pesos.  </t>
    </r>
  </si>
  <si>
    <t>Subsidio Estatal Específico</t>
  </si>
  <si>
    <t>Desarrollo Integral de Bacurato</t>
  </si>
  <si>
    <t>Minera Cosala S. A. de C. V.</t>
  </si>
  <si>
    <t xml:space="preserve">       Convenio IMTA/UAS/RD/0724.3 "Servicios de asesoría tecnica, organización y  plan director de unidades de riego en los </t>
  </si>
  <si>
    <t xml:space="preserve">       Estados de Nuevo León y Veracruz"</t>
  </si>
  <si>
    <r>
      <t>5).-</t>
    </r>
    <r>
      <rPr>
        <sz val="8"/>
        <rFont val="Arial"/>
        <family val="2"/>
      </rPr>
      <t xml:space="preserve"> Recursos para la aplicación del proyecto " Estudio biológico y pesquero de la lobina negra (Micropterus Salmoides), </t>
    </r>
  </si>
  <si>
    <t xml:space="preserve">       en la presa Gustavo Diaz Ordaz, Sinaloa, México.</t>
  </si>
  <si>
    <r>
      <t xml:space="preserve">6).- </t>
    </r>
    <r>
      <rPr>
        <sz val="8"/>
        <rFont val="Arial"/>
        <family val="2"/>
      </rPr>
      <t xml:space="preserve">Pago de indemnización por afectación minera de 144-71-82 has. Terreno propiedad de la UAS para ocupación temporal y </t>
    </r>
  </si>
  <si>
    <t xml:space="preserve">         servidumbre de paso de la Minera Cosala, correspondiente a los periodos de 2006, 2007 y los meses de enero a abril de 2008.</t>
  </si>
  <si>
    <t>SECRETARIA DE AMINISTRACION Y FINANZAS</t>
  </si>
  <si>
    <t>SECRETARIA DE ADMINISTRACION Y FINANZAS</t>
  </si>
  <si>
    <t xml:space="preserve">SECRETARIA DE ADMINISTRACION Y FINANZAS </t>
  </si>
  <si>
    <t>SECRETARIA DE ADMINSTRACION Y FINANZAS</t>
  </si>
  <si>
    <r>
      <t xml:space="preserve">NOTA: (1)  </t>
    </r>
    <r>
      <rPr>
        <sz val="9"/>
        <rFont val="Arial"/>
        <family val="2"/>
      </rPr>
      <t xml:space="preserve">EL SALDO AL 30 DE ABRIL DE 2008 DE GASTOS POR COMPROBAR ASCIENDE </t>
    </r>
  </si>
  <si>
    <t xml:space="preserve">                    A LA CANTIDAD DE $ 63 481 799.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</si>
</sst>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[$$-80A]* #,##0.00_ ;_-[$$-80A]* \-#,##0.00\ ;_-[$$-80A]* &quot;-&quot;??_ ;_-@_ "/>
    <numFmt numFmtId="174" formatCode="_-* #,##0.00\ _P_t_s_-;\-* #,##0.00\ _P_t_s_-;_-* &quot;-&quot;\ _P_t_s_-;_-@_-"/>
    <numFmt numFmtId="175" formatCode="#,##0.00_ ;[Red]\-#,##0.00\ 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-80A]dddd\,\ dd&quot; de &quot;mmmm&quot; de &quot;yyyy"/>
    <numFmt numFmtId="184" formatCode="[$-80A]hh:mm:ss\ AM/PM"/>
    <numFmt numFmtId="185" formatCode="#\ ###\ ##0.00;\(#\ ###\ ##0.00\)"/>
    <numFmt numFmtId="186" formatCode="&quot;$&quot;\ #\ ###\ ##0.00;\(#\ ###\ ##0.00\)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171" fontId="6" fillId="0" borderId="0" xfId="15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2" fontId="6" fillId="0" borderId="0" xfId="20" applyNumberFormat="1" applyFont="1" applyFill="1" applyBorder="1" applyAlignment="1">
      <alignment/>
    </xf>
    <xf numFmtId="172" fontId="5" fillId="0" borderId="0" xfId="21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21" applyNumberFormat="1" applyFont="1" applyFill="1" applyBorder="1" applyAlignment="1">
      <alignment/>
    </xf>
    <xf numFmtId="4" fontId="5" fillId="0" borderId="0" xfId="21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>
      <alignment/>
    </xf>
    <xf numFmtId="4" fontId="6" fillId="0" borderId="0" xfId="19" applyNumberFormat="1" applyFont="1" applyFill="1" applyAlignment="1">
      <alignment/>
    </xf>
    <xf numFmtId="4" fontId="6" fillId="0" borderId="0" xfId="15" applyNumberFormat="1" applyFont="1" applyFill="1" applyBorder="1" applyAlignment="1">
      <alignment/>
    </xf>
    <xf numFmtId="4" fontId="5" fillId="0" borderId="0" xfId="20" applyNumberFormat="1" applyFont="1" applyFill="1" applyBorder="1" applyAlignment="1">
      <alignment/>
    </xf>
    <xf numFmtId="4" fontId="6" fillId="0" borderId="0" xfId="20" applyNumberFormat="1" applyFont="1" applyFill="1" applyBorder="1" applyAlignment="1">
      <alignment/>
    </xf>
    <xf numFmtId="4" fontId="6" fillId="0" borderId="0" xfId="20" applyNumberFormat="1" applyFont="1" applyFill="1" applyBorder="1" applyAlignment="1">
      <alignment/>
    </xf>
    <xf numFmtId="4" fontId="5" fillId="0" borderId="0" xfId="19" applyNumberFormat="1" applyFont="1" applyFill="1" applyBorder="1" applyAlignment="1">
      <alignment/>
    </xf>
    <xf numFmtId="2" fontId="6" fillId="0" borderId="0" xfId="23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0" fontId="1" fillId="0" borderId="0" xfId="17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3" fontId="0" fillId="0" borderId="0" xfId="22" applyNumberFormat="1" applyFont="1" applyFill="1" applyBorder="1" applyAlignment="1">
      <alignment/>
    </xf>
    <xf numFmtId="43" fontId="1" fillId="0" borderId="0" xfId="22" applyNumberFormat="1" applyFont="1" applyFill="1" applyBorder="1" applyAlignment="1">
      <alignment/>
    </xf>
    <xf numFmtId="43" fontId="0" fillId="0" borderId="0" xfId="22" applyNumberFormat="1" applyFont="1" applyFill="1" applyBorder="1" applyAlignment="1">
      <alignment horizontal="right"/>
    </xf>
    <xf numFmtId="4" fontId="8" fillId="0" borderId="0" xfId="22" applyNumberFormat="1" applyFont="1" applyFill="1" applyAlignment="1">
      <alignment/>
    </xf>
    <xf numFmtId="43" fontId="8" fillId="0" borderId="0" xfId="22" applyNumberFormat="1" applyFont="1" applyFill="1" applyBorder="1" applyAlignment="1">
      <alignment/>
    </xf>
    <xf numFmtId="4" fontId="0" fillId="0" borderId="0" xfId="22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175" fontId="0" fillId="0" borderId="0" xfId="22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171" fontId="6" fillId="0" borderId="0" xfId="19" applyNumberFormat="1" applyFont="1" applyFill="1" applyAlignment="1">
      <alignment/>
    </xf>
    <xf numFmtId="4" fontId="6" fillId="0" borderId="0" xfId="19" applyNumberFormat="1" applyFont="1" applyFill="1" applyBorder="1" applyAlignment="1">
      <alignment/>
    </xf>
    <xf numFmtId="171" fontId="6" fillId="0" borderId="0" xfId="15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1" fontId="6" fillId="0" borderId="0" xfId="15" applyFont="1" applyFill="1" applyBorder="1" applyAlignment="1">
      <alignment/>
    </xf>
    <xf numFmtId="171" fontId="6" fillId="0" borderId="0" xfId="15" applyFont="1" applyFill="1" applyAlignment="1">
      <alignment/>
    </xf>
    <xf numFmtId="171" fontId="5" fillId="0" borderId="0" xfId="15" applyFont="1" applyFill="1" applyBorder="1" applyAlignment="1">
      <alignment horizontal="center"/>
    </xf>
    <xf numFmtId="171" fontId="0" fillId="0" borderId="0" xfId="15" applyFill="1" applyAlignment="1">
      <alignment/>
    </xf>
    <xf numFmtId="172" fontId="6" fillId="0" borderId="0" xfId="20" applyNumberFormat="1" applyFont="1" applyFill="1" applyBorder="1" applyAlignment="1">
      <alignment/>
    </xf>
    <xf numFmtId="4" fontId="5" fillId="0" borderId="0" xfId="15" applyNumberFormat="1" applyFont="1" applyFill="1" applyAlignment="1">
      <alignment/>
    </xf>
    <xf numFmtId="171" fontId="5" fillId="0" borderId="0" xfId="15" applyFont="1" applyFill="1" applyAlignment="1">
      <alignment/>
    </xf>
    <xf numFmtId="4" fontId="6" fillId="0" borderId="0" xfId="15" applyNumberFormat="1" applyFont="1" applyFill="1" applyAlignment="1">
      <alignment/>
    </xf>
    <xf numFmtId="4" fontId="0" fillId="0" borderId="0" xfId="15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" fontId="1" fillId="0" borderId="0" xfId="2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1" fillId="0" borderId="0" xfId="22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left"/>
    </xf>
    <xf numFmtId="185" fontId="1" fillId="0" borderId="0" xfId="22" applyNumberFormat="1" applyFont="1" applyFill="1" applyBorder="1" applyAlignment="1">
      <alignment/>
    </xf>
    <xf numFmtId="185" fontId="4" fillId="0" borderId="0" xfId="17" applyNumberFormat="1" applyFont="1" applyFill="1" applyBorder="1" applyAlignment="1">
      <alignment/>
    </xf>
    <xf numFmtId="185" fontId="1" fillId="0" borderId="0" xfId="22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/>
    </xf>
    <xf numFmtId="185" fontId="4" fillId="0" borderId="0" xfId="17" applyNumberFormat="1" applyFont="1" applyFill="1" applyBorder="1" applyAlignment="1">
      <alignment/>
    </xf>
    <xf numFmtId="185" fontId="13" fillId="0" borderId="0" xfId="0" applyNumberFormat="1" applyFont="1" applyFill="1" applyAlignment="1">
      <alignment horizontal="center"/>
    </xf>
    <xf numFmtId="185" fontId="1" fillId="0" borderId="0" xfId="17" applyNumberFormat="1" applyFont="1" applyFill="1" applyBorder="1" applyAlignment="1">
      <alignment/>
    </xf>
    <xf numFmtId="185" fontId="0" fillId="0" borderId="0" xfId="22" applyNumberFormat="1" applyFont="1" applyFill="1" applyBorder="1" applyAlignment="1">
      <alignment/>
    </xf>
    <xf numFmtId="185" fontId="11" fillId="0" borderId="0" xfId="22" applyNumberFormat="1" applyFont="1" applyFill="1" applyAlignment="1">
      <alignment/>
    </xf>
    <xf numFmtId="185" fontId="0" fillId="0" borderId="0" xfId="22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4" fontId="1" fillId="0" borderId="0" xfId="0" applyNumberFormat="1" applyFont="1" applyFill="1" applyAlignment="1" quotePrefix="1">
      <alignment horizontal="right"/>
    </xf>
    <xf numFmtId="185" fontId="5" fillId="0" borderId="0" xfId="0" applyNumberFormat="1" applyFont="1" applyFill="1" applyAlignment="1">
      <alignment horizontal="center"/>
    </xf>
    <xf numFmtId="185" fontId="0" fillId="0" borderId="1" xfId="22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/>
    </xf>
    <xf numFmtId="185" fontId="2" fillId="0" borderId="0" xfId="0" applyNumberFormat="1" applyFont="1" applyFill="1" applyAlignment="1">
      <alignment/>
    </xf>
    <xf numFmtId="185" fontId="2" fillId="0" borderId="0" xfId="22" applyNumberFormat="1" applyFont="1" applyFill="1" applyBorder="1" applyAlignment="1">
      <alignment/>
    </xf>
    <xf numFmtId="185" fontId="11" fillId="0" borderId="0" xfId="22" applyNumberFormat="1" applyFont="1" applyFill="1" applyAlignment="1">
      <alignment/>
    </xf>
    <xf numFmtId="185" fontId="0" fillId="0" borderId="0" xfId="22" applyNumberFormat="1" applyFont="1" applyFill="1" applyBorder="1" applyAlignment="1">
      <alignment/>
    </xf>
    <xf numFmtId="185" fontId="1" fillId="0" borderId="0" xfId="22" applyNumberFormat="1" applyFont="1" applyFill="1" applyAlignment="1">
      <alignment horizontal="right"/>
    </xf>
    <xf numFmtId="185" fontId="0" fillId="0" borderId="0" xfId="0" applyNumberFormat="1" applyFill="1" applyBorder="1" applyAlignment="1">
      <alignment/>
    </xf>
    <xf numFmtId="185" fontId="11" fillId="0" borderId="0" xfId="22" applyNumberFormat="1" applyFont="1" applyFill="1" applyBorder="1" applyAlignment="1">
      <alignment/>
    </xf>
    <xf numFmtId="185" fontId="0" fillId="0" borderId="0" xfId="22" applyNumberFormat="1" applyFont="1" applyFill="1" applyAlignment="1">
      <alignment horizontal="right"/>
    </xf>
    <xf numFmtId="185" fontId="0" fillId="0" borderId="0" xfId="17" applyNumberFormat="1" applyFont="1" applyFill="1" applyAlignment="1">
      <alignment horizontal="right"/>
    </xf>
    <xf numFmtId="185" fontId="8" fillId="0" borderId="0" xfId="22" applyNumberFormat="1" applyFont="1" applyFill="1" applyAlignment="1">
      <alignment/>
    </xf>
    <xf numFmtId="185" fontId="0" fillId="0" borderId="0" xfId="22" applyNumberFormat="1" applyFont="1" applyFill="1" applyAlignment="1">
      <alignment/>
    </xf>
    <xf numFmtId="185" fontId="10" fillId="0" borderId="0" xfId="22" applyNumberFormat="1" applyFont="1" applyFill="1" applyAlignment="1">
      <alignment/>
    </xf>
    <xf numFmtId="185" fontId="0" fillId="0" borderId="0" xfId="22" applyNumberFormat="1" applyFont="1" applyFill="1" applyBorder="1" applyAlignment="1">
      <alignment horizontal="right"/>
    </xf>
    <xf numFmtId="185" fontId="9" fillId="0" borderId="0" xfId="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9" fillId="0" borderId="0" xfId="15" applyNumberFormat="1" applyFont="1" applyFill="1" applyAlignment="1">
      <alignment/>
    </xf>
    <xf numFmtId="185" fontId="0" fillId="0" borderId="1" xfId="22" applyNumberFormat="1" applyFont="1" applyFill="1" applyBorder="1" applyAlignment="1">
      <alignment horizontal="right"/>
    </xf>
    <xf numFmtId="185" fontId="11" fillId="0" borderId="1" xfId="0" applyNumberFormat="1" applyFont="1" applyFill="1" applyBorder="1" applyAlignment="1">
      <alignment/>
    </xf>
    <xf numFmtId="185" fontId="4" fillId="0" borderId="0" xfId="22" applyNumberFormat="1" applyFont="1" applyFill="1" applyAlignment="1">
      <alignment horizontal="right"/>
    </xf>
    <xf numFmtId="185" fontId="11" fillId="0" borderId="0" xfId="2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1" fillId="0" borderId="2" xfId="22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5" fontId="6" fillId="0" borderId="0" xfId="21" applyNumberFormat="1" applyFont="1" applyFill="1" applyBorder="1" applyAlignment="1">
      <alignment/>
    </xf>
    <xf numFmtId="185" fontId="6" fillId="0" borderId="0" xfId="23" applyNumberFormat="1" applyFont="1" applyFill="1" applyBorder="1" applyAlignment="1">
      <alignment horizontal="right"/>
    </xf>
    <xf numFmtId="185" fontId="6" fillId="0" borderId="1" xfId="0" applyNumberFormat="1" applyFont="1" applyFill="1" applyBorder="1" applyAlignment="1">
      <alignment/>
    </xf>
    <xf numFmtId="185" fontId="6" fillId="0" borderId="1" xfId="21" applyNumberFormat="1" applyFont="1" applyFill="1" applyBorder="1" applyAlignment="1">
      <alignment/>
    </xf>
    <xf numFmtId="185" fontId="6" fillId="0" borderId="1" xfId="23" applyNumberFormat="1" applyFont="1" applyFill="1" applyBorder="1" applyAlignment="1">
      <alignment horizontal="right"/>
    </xf>
    <xf numFmtId="185" fontId="6" fillId="0" borderId="0" xfId="0" applyNumberFormat="1" applyFont="1" applyFill="1" applyAlignment="1">
      <alignment/>
    </xf>
    <xf numFmtId="185" fontId="6" fillId="0" borderId="0" xfId="23" applyNumberFormat="1" applyFont="1" applyFill="1" applyAlignment="1">
      <alignment horizontal="right"/>
    </xf>
    <xf numFmtId="185" fontId="5" fillId="0" borderId="3" xfId="21" applyNumberFormat="1" applyFont="1" applyFill="1" applyBorder="1" applyAlignment="1">
      <alignment/>
    </xf>
    <xf numFmtId="185" fontId="5" fillId="0" borderId="3" xfId="21" applyNumberFormat="1" applyFont="1" applyFill="1" applyBorder="1" applyAlignment="1">
      <alignment horizontal="right"/>
    </xf>
    <xf numFmtId="185" fontId="5" fillId="0" borderId="0" xfId="21" applyNumberFormat="1" applyFont="1" applyFill="1" applyBorder="1" applyAlignment="1">
      <alignment/>
    </xf>
    <xf numFmtId="185" fontId="6" fillId="0" borderId="4" xfId="0" applyNumberFormat="1" applyFont="1" applyFill="1" applyBorder="1" applyAlignment="1">
      <alignment/>
    </xf>
    <xf numFmtId="185" fontId="5" fillId="0" borderId="1" xfId="0" applyNumberFormat="1" applyFont="1" applyFill="1" applyBorder="1" applyAlignment="1">
      <alignment/>
    </xf>
    <xf numFmtId="185" fontId="6" fillId="0" borderId="0" xfId="0" applyNumberFormat="1" applyFont="1" applyFill="1" applyAlignment="1">
      <alignment/>
    </xf>
    <xf numFmtId="185" fontId="5" fillId="0" borderId="2" xfId="0" applyNumberFormat="1" applyFont="1" applyFill="1" applyBorder="1" applyAlignment="1">
      <alignment/>
    </xf>
    <xf numFmtId="185" fontId="5" fillId="0" borderId="5" xfId="21" applyNumberFormat="1" applyFont="1" applyFill="1" applyBorder="1" applyAlignment="1">
      <alignment/>
    </xf>
    <xf numFmtId="185" fontId="5" fillId="0" borderId="5" xfId="0" applyNumberFormat="1" applyFont="1" applyFill="1" applyBorder="1" applyAlignment="1">
      <alignment horizontal="right"/>
    </xf>
    <xf numFmtId="185" fontId="6" fillId="0" borderId="0" xfId="21" applyNumberFormat="1" applyFont="1" applyFill="1" applyBorder="1" applyAlignment="1">
      <alignment/>
    </xf>
    <xf numFmtId="185" fontId="6" fillId="0" borderId="0" xfId="23" applyNumberFormat="1" applyFont="1" applyFill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2" xfId="21" applyNumberFormat="1" applyFont="1" applyFill="1" applyBorder="1" applyAlignment="1">
      <alignment/>
    </xf>
    <xf numFmtId="185" fontId="5" fillId="0" borderId="2" xfId="0" applyNumberFormat="1" applyFont="1" applyFill="1" applyBorder="1" applyAlignment="1">
      <alignment horizontal="right"/>
    </xf>
    <xf numFmtId="185" fontId="5" fillId="0" borderId="0" xfId="21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5" fillId="0" borderId="3" xfId="0" applyNumberFormat="1" applyFont="1" applyFill="1" applyBorder="1" applyAlignment="1">
      <alignment/>
    </xf>
    <xf numFmtId="185" fontId="5" fillId="0" borderId="3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0" xfId="22" applyNumberFormat="1" applyFont="1" applyFill="1" applyBorder="1" applyAlignment="1">
      <alignment horizontal="right"/>
    </xf>
    <xf numFmtId="185" fontId="6" fillId="0" borderId="0" xfId="22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5" fontId="6" fillId="0" borderId="0" xfId="19" applyNumberFormat="1" applyFont="1" applyFill="1" applyAlignment="1">
      <alignment/>
    </xf>
    <xf numFmtId="185" fontId="6" fillId="0" borderId="0" xfId="15" applyNumberFormat="1" applyFont="1" applyFill="1" applyBorder="1" applyAlignment="1">
      <alignment/>
    </xf>
    <xf numFmtId="185" fontId="6" fillId="0" borderId="0" xfId="15" applyNumberFormat="1" applyFont="1" applyFill="1" applyBorder="1" applyAlignment="1">
      <alignment horizontal="center"/>
    </xf>
    <xf numFmtId="185" fontId="5" fillId="0" borderId="5" xfId="19" applyNumberFormat="1" applyFont="1" applyFill="1" applyBorder="1" applyAlignment="1">
      <alignment/>
    </xf>
    <xf numFmtId="185" fontId="6" fillId="0" borderId="0" xfId="19" applyNumberFormat="1" applyFont="1" applyFill="1" applyBorder="1" applyAlignment="1">
      <alignment/>
    </xf>
    <xf numFmtId="185" fontId="6" fillId="0" borderId="0" xfId="15" applyNumberFormat="1" applyFont="1" applyFill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185" fontId="6" fillId="0" borderId="0" xfId="15" applyNumberFormat="1" applyFont="1" applyFill="1" applyAlignment="1">
      <alignment/>
    </xf>
    <xf numFmtId="185" fontId="5" fillId="0" borderId="5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5" fillId="0" borderId="5" xfId="19" applyNumberFormat="1" applyFont="1" applyFill="1" applyBorder="1" applyAlignment="1">
      <alignment horizontal="right"/>
    </xf>
    <xf numFmtId="185" fontId="6" fillId="0" borderId="0" xfId="15" applyNumberFormat="1" applyFont="1" applyFill="1" applyBorder="1" applyAlignment="1">
      <alignment/>
    </xf>
    <xf numFmtId="185" fontId="5" fillId="0" borderId="3" xfId="15" applyNumberFormat="1" applyFont="1" applyFill="1" applyBorder="1" applyAlignment="1">
      <alignment/>
    </xf>
    <xf numFmtId="185" fontId="5" fillId="0" borderId="3" xfId="15" applyNumberFormat="1" applyFont="1" applyFill="1" applyBorder="1" applyAlignment="1">
      <alignment horizontal="right"/>
    </xf>
    <xf numFmtId="185" fontId="6" fillId="0" borderId="0" xfId="15" applyNumberFormat="1" applyFont="1" applyFill="1" applyBorder="1" applyAlignment="1">
      <alignment horizontal="right"/>
    </xf>
    <xf numFmtId="185" fontId="5" fillId="0" borderId="3" xfId="19" applyNumberFormat="1" applyFont="1" applyFill="1" applyBorder="1" applyAlignment="1">
      <alignment/>
    </xf>
    <xf numFmtId="185" fontId="5" fillId="0" borderId="3" xfId="19" applyNumberFormat="1" applyFont="1" applyFill="1" applyBorder="1" applyAlignment="1">
      <alignment horizontal="right"/>
    </xf>
    <xf numFmtId="185" fontId="6" fillId="0" borderId="0" xfId="15" applyNumberFormat="1" applyFont="1" applyFill="1" applyAlignment="1">
      <alignment/>
    </xf>
    <xf numFmtId="185" fontId="6" fillId="0" borderId="0" xfId="20" applyNumberFormat="1" applyFont="1" applyFill="1" applyBorder="1" applyAlignment="1">
      <alignment/>
    </xf>
    <xf numFmtId="185" fontId="6" fillId="0" borderId="0" xfId="23" applyNumberFormat="1" applyFont="1" applyFill="1" applyAlignment="1">
      <alignment horizontal="center"/>
    </xf>
    <xf numFmtId="185" fontId="5" fillId="0" borderId="5" xfId="20" applyNumberFormat="1" applyFont="1" applyFill="1" applyBorder="1" applyAlignment="1">
      <alignment/>
    </xf>
    <xf numFmtId="185" fontId="6" fillId="0" borderId="0" xfId="23" applyNumberFormat="1" applyFont="1" applyFill="1" applyBorder="1" applyAlignment="1">
      <alignment horizontal="center"/>
    </xf>
    <xf numFmtId="185" fontId="6" fillId="0" borderId="4" xfId="20" applyNumberFormat="1" applyFont="1" applyFill="1" applyBorder="1" applyAlignment="1">
      <alignment/>
    </xf>
    <xf numFmtId="185" fontId="6" fillId="0" borderId="4" xfId="23" applyNumberFormat="1" applyFont="1" applyFill="1" applyBorder="1" applyAlignment="1">
      <alignment horizontal="right"/>
    </xf>
    <xf numFmtId="185" fontId="5" fillId="0" borderId="0" xfId="15" applyNumberFormat="1" applyFont="1" applyFill="1" applyAlignment="1">
      <alignment/>
    </xf>
    <xf numFmtId="185" fontId="6" fillId="0" borderId="0" xfId="20" applyNumberFormat="1" applyFont="1" applyFill="1" applyBorder="1" applyAlignment="1">
      <alignment/>
    </xf>
    <xf numFmtId="185" fontId="5" fillId="0" borderId="3" xfId="0" applyNumberFormat="1" applyFont="1" applyFill="1" applyBorder="1" applyAlignment="1">
      <alignment/>
    </xf>
    <xf numFmtId="185" fontId="5" fillId="0" borderId="5" xfId="0" applyNumberFormat="1" applyFont="1" applyFill="1" applyBorder="1" applyAlignment="1">
      <alignment/>
    </xf>
    <xf numFmtId="185" fontId="0" fillId="0" borderId="0" xfId="0" applyNumberFormat="1" applyFill="1" applyAlignment="1">
      <alignment horizontal="right"/>
    </xf>
    <xf numFmtId="185" fontId="5" fillId="0" borderId="3" xfId="0" applyNumberFormat="1" applyFont="1" applyFill="1" applyBorder="1" applyAlignment="1">
      <alignment horizontal="center"/>
    </xf>
    <xf numFmtId="185" fontId="6" fillId="0" borderId="0" xfId="20" applyNumberFormat="1" applyFont="1" applyFill="1" applyBorder="1" applyAlignment="1">
      <alignment horizontal="right"/>
    </xf>
    <xf numFmtId="185" fontId="5" fillId="0" borderId="4" xfId="19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185" fontId="4" fillId="0" borderId="0" xfId="17" applyNumberFormat="1" applyFont="1" applyFill="1" applyBorder="1" applyAlignment="1">
      <alignment horizontal="right"/>
    </xf>
    <xf numFmtId="185" fontId="1" fillId="0" borderId="0" xfId="22" applyNumberFormat="1" applyFont="1" applyFill="1" applyBorder="1" applyAlignment="1">
      <alignment horizontal="right"/>
    </xf>
    <xf numFmtId="185" fontId="1" fillId="0" borderId="0" xfId="17" applyNumberFormat="1" applyFont="1" applyFill="1" applyBorder="1" applyAlignment="1">
      <alignment horizontal="right"/>
    </xf>
    <xf numFmtId="185" fontId="2" fillId="0" borderId="0" xfId="22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85" fontId="8" fillId="0" borderId="0" xfId="22" applyNumberFormat="1" applyFont="1" applyFill="1" applyAlignment="1">
      <alignment horizontal="right"/>
    </xf>
    <xf numFmtId="185" fontId="10" fillId="0" borderId="0" xfId="22" applyNumberFormat="1" applyFont="1" applyFill="1" applyAlignment="1">
      <alignment horizontal="right"/>
    </xf>
    <xf numFmtId="185" fontId="9" fillId="0" borderId="0" xfId="15" applyNumberFormat="1" applyFont="1" applyFill="1" applyAlignment="1">
      <alignment horizontal="right"/>
    </xf>
    <xf numFmtId="185" fontId="11" fillId="0" borderId="0" xfId="22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5" fontId="6" fillId="0" borderId="1" xfId="22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6" fontId="5" fillId="0" borderId="2" xfId="22" applyNumberFormat="1" applyFont="1" applyFill="1" applyBorder="1" applyAlignment="1">
      <alignment horizontal="right"/>
    </xf>
    <xf numFmtId="17" fontId="5" fillId="0" borderId="0" xfId="0" applyNumberFormat="1" applyFont="1" applyFill="1" applyAlignment="1">
      <alignment horizontal="center"/>
    </xf>
    <xf numFmtId="185" fontId="5" fillId="0" borderId="0" xfId="22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6" fontId="5" fillId="0" borderId="0" xfId="2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1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85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" fontId="1" fillId="0" borderId="0" xfId="0" applyNumberFormat="1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Millares [0]_1 er Informe jun-ago. 2001" xfId="19"/>
    <cellStyle name="Millares [0]_1er informe 2001" xfId="20"/>
    <cellStyle name="Millares [0]_Ingresos" xfId="21"/>
    <cellStyle name="Millares_1er informe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SheetLayoutView="100" workbookViewId="0" topLeftCell="A34">
      <selection activeCell="C49" sqref="C49"/>
    </sheetView>
  </sheetViews>
  <sheetFormatPr defaultColWidth="9.140625" defaultRowHeight="12.75"/>
  <cols>
    <col min="1" max="1" width="11.57421875" style="2" customWidth="1"/>
    <col min="2" max="2" width="1.7109375" style="2" customWidth="1"/>
    <col min="3" max="3" width="35.57421875" style="2" customWidth="1"/>
    <col min="4" max="4" width="8.421875" style="2" customWidth="1"/>
    <col min="5" max="5" width="2.7109375" style="2" customWidth="1"/>
    <col min="6" max="6" width="14.8515625" style="25" bestFit="1" customWidth="1"/>
    <col min="7" max="7" width="2.7109375" style="220" customWidth="1"/>
    <col min="8" max="8" width="14.8515625" style="25" bestFit="1" customWidth="1"/>
    <col min="9" max="9" width="14.8515625" style="2" bestFit="1" customWidth="1"/>
    <col min="10" max="16384" width="11.421875" style="2" customWidth="1"/>
  </cols>
  <sheetData>
    <row r="2" spans="1:8" ht="15.75" customHeight="1">
      <c r="A2" s="242" t="s">
        <v>369</v>
      </c>
      <c r="B2" s="242"/>
      <c r="C2" s="242"/>
      <c r="D2" s="242"/>
      <c r="E2" s="242"/>
      <c r="F2" s="242"/>
      <c r="G2" s="242"/>
      <c r="H2" s="242"/>
    </row>
    <row r="3" spans="1:8" ht="15.75" customHeight="1">
      <c r="A3" s="242" t="s">
        <v>556</v>
      </c>
      <c r="B3" s="242"/>
      <c r="C3" s="242"/>
      <c r="D3" s="242"/>
      <c r="E3" s="242"/>
      <c r="F3" s="242"/>
      <c r="G3" s="242"/>
      <c r="H3" s="242"/>
    </row>
    <row r="4" spans="1:8" ht="12.75" customHeight="1">
      <c r="A4" s="243" t="s">
        <v>392</v>
      </c>
      <c r="B4" s="243"/>
      <c r="C4" s="243"/>
      <c r="D4" s="243"/>
      <c r="E4" s="243"/>
      <c r="F4" s="243"/>
      <c r="G4" s="243"/>
      <c r="H4" s="243"/>
    </row>
    <row r="5" spans="1:8" ht="13.5" customHeight="1">
      <c r="A5" s="243" t="s">
        <v>530</v>
      </c>
      <c r="B5" s="243"/>
      <c r="C5" s="243"/>
      <c r="D5" s="243"/>
      <c r="E5" s="243"/>
      <c r="F5" s="243"/>
      <c r="G5" s="243"/>
      <c r="H5" s="243"/>
    </row>
    <row r="6" spans="3:8" ht="12.75">
      <c r="C6" s="46"/>
      <c r="D6" s="46"/>
      <c r="E6" s="46"/>
      <c r="F6" s="47"/>
      <c r="G6" s="217"/>
      <c r="H6" s="47"/>
    </row>
    <row r="7" spans="3:8" ht="12.75">
      <c r="C7" s="46"/>
      <c r="D7" s="46"/>
      <c r="E7" s="46"/>
      <c r="F7" s="47"/>
      <c r="G7" s="217"/>
      <c r="H7" s="47"/>
    </row>
    <row r="8" spans="1:8" ht="15">
      <c r="A8" s="6" t="s">
        <v>319</v>
      </c>
      <c r="B8" s="6"/>
      <c r="C8" s="87"/>
      <c r="D8" s="87"/>
      <c r="E8" s="87"/>
      <c r="F8" s="88"/>
      <c r="G8" s="218"/>
      <c r="H8" s="88"/>
    </row>
    <row r="9" spans="1:8" ht="15">
      <c r="A9" s="96" t="s">
        <v>318</v>
      </c>
      <c r="B9" s="94"/>
      <c r="C9" s="97" t="s">
        <v>0</v>
      </c>
      <c r="D9" s="97"/>
      <c r="E9" s="97"/>
      <c r="F9" s="98"/>
      <c r="G9" s="219"/>
      <c r="H9" s="98" t="s">
        <v>1</v>
      </c>
    </row>
    <row r="10" spans="3:8" ht="14.25">
      <c r="C10" s="49"/>
      <c r="D10" s="49"/>
      <c r="E10" s="49"/>
      <c r="H10" s="88"/>
    </row>
    <row r="11" spans="1:9" ht="14.25" customHeight="1">
      <c r="A11" s="19"/>
      <c r="B11" s="19"/>
      <c r="C11" s="84" t="s">
        <v>141</v>
      </c>
      <c r="D11" s="84"/>
      <c r="E11" s="111"/>
      <c r="F11" s="112"/>
      <c r="G11" s="221" t="s">
        <v>391</v>
      </c>
      <c r="H11" s="114">
        <v>208215026.87</v>
      </c>
      <c r="I11" s="100"/>
    </row>
    <row r="12" spans="1:9" ht="14.25" customHeight="1">
      <c r="A12" s="19"/>
      <c r="B12" s="19"/>
      <c r="C12" s="84"/>
      <c r="D12" s="84"/>
      <c r="E12" s="111"/>
      <c r="F12" s="112"/>
      <c r="G12" s="222"/>
      <c r="H12" s="115"/>
      <c r="I12" s="48"/>
    </row>
    <row r="13" spans="1:9" ht="14.25" customHeight="1">
      <c r="A13" s="19"/>
      <c r="B13" s="19"/>
      <c r="C13" s="84"/>
      <c r="D13" s="84"/>
      <c r="E13" s="111"/>
      <c r="F13" s="112"/>
      <c r="G13" s="222"/>
      <c r="H13" s="115"/>
      <c r="I13" s="48"/>
    </row>
    <row r="14" spans="1:9" ht="15">
      <c r="A14" s="99" t="s">
        <v>387</v>
      </c>
      <c r="C14" s="9"/>
      <c r="D14" s="9"/>
      <c r="E14" s="116"/>
      <c r="F14" s="112"/>
      <c r="G14" s="222"/>
      <c r="H14" s="117"/>
      <c r="I14" s="19"/>
    </row>
    <row r="15" spans="3:9" ht="15">
      <c r="C15" s="95" t="s">
        <v>388</v>
      </c>
      <c r="D15" s="95"/>
      <c r="E15" s="118"/>
      <c r="F15" s="119"/>
      <c r="G15" s="223"/>
      <c r="H15" s="114">
        <f>SUM(F17:F26)</f>
        <v>696507049.58</v>
      </c>
      <c r="I15" s="32"/>
    </row>
    <row r="16" spans="3:9" ht="14.25">
      <c r="C16" s="9"/>
      <c r="D16" s="9"/>
      <c r="E16" s="116"/>
      <c r="F16" s="120"/>
      <c r="G16" s="140"/>
      <c r="H16" s="121"/>
      <c r="I16" s="19"/>
    </row>
    <row r="17" spans="1:9" ht="14.25">
      <c r="A17" s="6" t="s">
        <v>320</v>
      </c>
      <c r="B17" s="6"/>
      <c r="C17" s="9" t="s">
        <v>2</v>
      </c>
      <c r="D17" s="231"/>
      <c r="E17" s="116" t="s">
        <v>391</v>
      </c>
      <c r="F17" s="122">
        <f>Sub!E24</f>
        <v>657765796.2</v>
      </c>
      <c r="G17" s="136"/>
      <c r="H17" s="123"/>
      <c r="I17" s="50"/>
    </row>
    <row r="18" spans="1:9" ht="14.25">
      <c r="A18" s="6"/>
      <c r="B18" s="6"/>
      <c r="C18" s="12"/>
      <c r="D18" s="12"/>
      <c r="E18" s="125"/>
      <c r="F18" s="122"/>
      <c r="G18" s="135"/>
      <c r="H18" s="123"/>
      <c r="I18" s="50"/>
    </row>
    <row r="19" spans="1:9" ht="14.25">
      <c r="A19" s="6"/>
      <c r="B19" s="6"/>
      <c r="C19" s="9"/>
      <c r="D19" s="231"/>
      <c r="E19" s="116"/>
      <c r="F19" s="122"/>
      <c r="G19" s="135"/>
      <c r="H19" s="123"/>
      <c r="I19" s="19"/>
    </row>
    <row r="20" spans="1:9" ht="14.25">
      <c r="A20" s="6" t="s">
        <v>321</v>
      </c>
      <c r="B20" s="6"/>
      <c r="C20" s="9" t="s">
        <v>4</v>
      </c>
      <c r="D20" s="231"/>
      <c r="E20" s="116"/>
      <c r="F20" s="122">
        <f>'Ing.Prop'!E52</f>
        <v>33166058.15</v>
      </c>
      <c r="G20" s="135"/>
      <c r="H20" s="123"/>
      <c r="I20" s="50"/>
    </row>
    <row r="21" spans="1:9" ht="14.25">
      <c r="A21" s="6"/>
      <c r="B21" s="6"/>
      <c r="C21" s="12"/>
      <c r="D21" s="12"/>
      <c r="E21" s="125"/>
      <c r="F21" s="122"/>
      <c r="G21" s="135"/>
      <c r="H21" s="123"/>
      <c r="I21" s="50"/>
    </row>
    <row r="22" spans="1:9" ht="14.25">
      <c r="A22" s="6"/>
      <c r="B22" s="6"/>
      <c r="C22" s="9"/>
      <c r="D22" s="231"/>
      <c r="E22" s="116"/>
      <c r="F22" s="122"/>
      <c r="G22" s="135"/>
      <c r="H22" s="123"/>
      <c r="I22" s="19"/>
    </row>
    <row r="23" spans="1:9" ht="14.25">
      <c r="A23" s="6" t="s">
        <v>322</v>
      </c>
      <c r="B23" s="6"/>
      <c r="C23" s="9" t="s">
        <v>6</v>
      </c>
      <c r="D23" s="231"/>
      <c r="E23" s="116"/>
      <c r="F23" s="122">
        <f>'O.Ing.Prop'!E19</f>
        <v>1919329</v>
      </c>
      <c r="G23" s="135"/>
      <c r="H23" s="123"/>
      <c r="I23" s="50"/>
    </row>
    <row r="24" spans="1:9" ht="14.25">
      <c r="A24" s="6"/>
      <c r="B24" s="6"/>
      <c r="C24" s="12"/>
      <c r="D24" s="12"/>
      <c r="E24" s="125"/>
      <c r="F24" s="122"/>
      <c r="G24" s="135"/>
      <c r="H24" s="123"/>
      <c r="I24" s="50"/>
    </row>
    <row r="25" spans="1:9" ht="14.25">
      <c r="A25" s="6"/>
      <c r="B25" s="6"/>
      <c r="C25" s="9"/>
      <c r="D25" s="231"/>
      <c r="E25" s="116"/>
      <c r="F25" s="115"/>
      <c r="G25" s="213"/>
      <c r="H25" s="123"/>
      <c r="I25" s="19"/>
    </row>
    <row r="26" spans="1:9" ht="14.25">
      <c r="A26" s="6" t="s">
        <v>323</v>
      </c>
      <c r="B26" s="6"/>
      <c r="C26" s="9" t="s">
        <v>9</v>
      </c>
      <c r="D26" s="231"/>
      <c r="E26" s="116"/>
      <c r="F26" s="126">
        <f>'O.Ing'!E21</f>
        <v>3655866.23</v>
      </c>
      <c r="G26" s="135"/>
      <c r="H26" s="123"/>
      <c r="I26" s="50"/>
    </row>
    <row r="27" spans="3:9" ht="14.25">
      <c r="C27" s="12"/>
      <c r="D27" s="12"/>
      <c r="E27" s="125"/>
      <c r="F27" s="120"/>
      <c r="G27" s="140"/>
      <c r="H27" s="123"/>
      <c r="I27" s="50"/>
    </row>
    <row r="28" spans="3:9" ht="14.25">
      <c r="C28" s="9"/>
      <c r="D28" s="231"/>
      <c r="E28" s="116"/>
      <c r="F28" s="120"/>
      <c r="G28" s="140"/>
      <c r="H28" s="121"/>
      <c r="I28" s="19"/>
    </row>
    <row r="29" spans="1:9" ht="15.75" customHeight="1">
      <c r="A29" s="19"/>
      <c r="B29" s="19"/>
      <c r="C29" s="3"/>
      <c r="D29" s="3"/>
      <c r="E29" s="127"/>
      <c r="F29" s="112"/>
      <c r="G29" s="222"/>
      <c r="H29" s="115"/>
      <c r="I29" s="51"/>
    </row>
    <row r="30" spans="1:9" ht="14.25">
      <c r="A30" s="99" t="s">
        <v>389</v>
      </c>
      <c r="C30" s="49"/>
      <c r="D30" s="232"/>
      <c r="E30" s="128"/>
      <c r="F30" s="129"/>
      <c r="G30" s="224"/>
      <c r="H30" s="130"/>
      <c r="I30" s="19"/>
    </row>
    <row r="31" spans="3:9" ht="15">
      <c r="C31" s="95" t="s">
        <v>390</v>
      </c>
      <c r="D31" s="95"/>
      <c r="E31" s="118"/>
      <c r="F31" s="131"/>
      <c r="G31" s="140"/>
      <c r="H31" s="132">
        <f>SUM(F33:F42)</f>
        <v>682133787.94</v>
      </c>
      <c r="I31" s="32"/>
    </row>
    <row r="32" spans="3:9" ht="14.25">
      <c r="C32" s="9"/>
      <c r="D32" s="231"/>
      <c r="E32" s="116"/>
      <c r="F32" s="133"/>
      <c r="G32" s="225"/>
      <c r="H32" s="134"/>
      <c r="I32" s="19"/>
    </row>
    <row r="33" spans="1:9" ht="14.25">
      <c r="A33" s="6" t="s">
        <v>324</v>
      </c>
      <c r="B33" s="6"/>
      <c r="C33" s="9" t="s">
        <v>11</v>
      </c>
      <c r="D33" s="231"/>
      <c r="E33" s="116" t="s">
        <v>391</v>
      </c>
      <c r="F33" s="135">
        <f>'Serv.Per'!E112</f>
        <v>495769366.62000006</v>
      </c>
      <c r="G33" s="136"/>
      <c r="H33" s="123"/>
      <c r="I33" s="52"/>
    </row>
    <row r="34" spans="1:9" ht="14.25">
      <c r="A34" s="6"/>
      <c r="B34" s="6"/>
      <c r="C34" s="12"/>
      <c r="D34" s="12"/>
      <c r="E34" s="125"/>
      <c r="F34" s="139"/>
      <c r="G34" s="226"/>
      <c r="H34" s="123"/>
      <c r="I34" s="54"/>
    </row>
    <row r="35" spans="1:9" ht="14.25">
      <c r="A35" s="6"/>
      <c r="B35" s="6"/>
      <c r="C35" s="9"/>
      <c r="D35" s="231"/>
      <c r="E35" s="116"/>
      <c r="F35" s="138"/>
      <c r="G35" s="135"/>
      <c r="H35" s="123"/>
      <c r="I35" s="19"/>
    </row>
    <row r="36" spans="1:9" ht="14.25">
      <c r="A36" s="6" t="s">
        <v>325</v>
      </c>
      <c r="B36" s="6"/>
      <c r="C36" s="9" t="s">
        <v>13</v>
      </c>
      <c r="D36" s="231"/>
      <c r="E36" s="116"/>
      <c r="F36" s="135">
        <f>'Mat.Cons'!E17</f>
        <v>7752716.960000001</v>
      </c>
      <c r="G36" s="135"/>
      <c r="H36" s="123"/>
      <c r="I36" s="52"/>
    </row>
    <row r="37" spans="1:9" ht="14.25">
      <c r="A37" s="6"/>
      <c r="B37" s="6"/>
      <c r="C37" s="12"/>
      <c r="D37" s="237"/>
      <c r="E37" s="125"/>
      <c r="F37" s="139"/>
      <c r="G37" s="227"/>
      <c r="H37" s="123"/>
      <c r="I37" s="52"/>
    </row>
    <row r="38" spans="1:9" ht="14.25">
      <c r="A38" s="6"/>
      <c r="B38" s="6"/>
      <c r="C38" s="9"/>
      <c r="G38" s="227"/>
      <c r="H38" s="123"/>
      <c r="I38" s="19"/>
    </row>
    <row r="39" spans="1:9" ht="14.25">
      <c r="A39" s="6" t="s">
        <v>326</v>
      </c>
      <c r="B39" s="6"/>
      <c r="C39" s="9" t="s">
        <v>15</v>
      </c>
      <c r="D39" s="231"/>
      <c r="E39" s="116"/>
      <c r="F39" s="140">
        <f>'Serv.Grals'!E47</f>
        <v>21957287.99</v>
      </c>
      <c r="G39" s="140"/>
      <c r="H39" s="123"/>
      <c r="I39" s="52"/>
    </row>
    <row r="40" spans="1:9" ht="12.75">
      <c r="A40" s="6"/>
      <c r="B40" s="6"/>
      <c r="C40" s="12"/>
      <c r="D40" s="237"/>
      <c r="E40" s="125"/>
      <c r="F40" s="139"/>
      <c r="G40" s="213"/>
      <c r="I40" s="54"/>
    </row>
    <row r="41" spans="1:8" ht="12.75">
      <c r="A41" s="6"/>
      <c r="B41" s="6"/>
      <c r="C41" s="10"/>
      <c r="D41" s="237"/>
      <c r="E41" s="142"/>
      <c r="F41" s="143"/>
      <c r="G41" s="228"/>
      <c r="H41" s="115"/>
    </row>
    <row r="42" spans="1:9" ht="14.25">
      <c r="A42" s="6" t="s">
        <v>327</v>
      </c>
      <c r="B42" s="6"/>
      <c r="C42" s="9" t="s">
        <v>17</v>
      </c>
      <c r="D42" s="231"/>
      <c r="E42" s="116" t="s">
        <v>23</v>
      </c>
      <c r="F42" s="144">
        <f>'Gto.Comp'!E20</f>
        <v>156654416.37</v>
      </c>
      <c r="G42" s="140"/>
      <c r="H42" s="145"/>
      <c r="I42" s="52"/>
    </row>
    <row r="43" spans="3:9" ht="15">
      <c r="C43" s="12"/>
      <c r="D43" s="12"/>
      <c r="E43" s="125"/>
      <c r="F43" s="131"/>
      <c r="G43" s="140"/>
      <c r="H43" s="146"/>
      <c r="I43" s="52"/>
    </row>
    <row r="44" spans="3:9" ht="14.25">
      <c r="C44" s="10"/>
      <c r="D44" s="6"/>
      <c r="E44" s="142"/>
      <c r="F44" s="131"/>
      <c r="G44" s="140"/>
      <c r="H44" s="147"/>
      <c r="I44" s="19"/>
    </row>
    <row r="45" spans="1:9" ht="14.25" customHeight="1" thickBot="1">
      <c r="A45" s="3" t="s">
        <v>328</v>
      </c>
      <c r="B45" s="19"/>
      <c r="C45" s="90" t="s">
        <v>140</v>
      </c>
      <c r="D45" s="93"/>
      <c r="E45" s="148"/>
      <c r="G45" s="221" t="s">
        <v>391</v>
      </c>
      <c r="H45" s="149">
        <f>H11+H15-H31</f>
        <v>222588288.51</v>
      </c>
      <c r="I45" s="58"/>
    </row>
    <row r="46" spans="1:9" ht="12.75" customHeight="1" thickTop="1">
      <c r="A46" s="19"/>
      <c r="B46" s="19"/>
      <c r="C46" s="93"/>
      <c r="D46" s="93"/>
      <c r="E46" s="150"/>
      <c r="F46" s="131"/>
      <c r="G46" s="229"/>
      <c r="H46" s="113"/>
      <c r="I46" s="110"/>
    </row>
    <row r="47" spans="1:9" ht="12.75" customHeight="1">
      <c r="A47" s="19"/>
      <c r="B47" s="19"/>
      <c r="C47" s="90"/>
      <c r="D47" s="93"/>
      <c r="E47" s="148"/>
      <c r="F47" s="115"/>
      <c r="G47" s="225"/>
      <c r="H47" s="141"/>
      <c r="I47" s="51"/>
    </row>
    <row r="48" spans="2:9" ht="12.75">
      <c r="B48" s="3"/>
      <c r="D48" s="4"/>
      <c r="E48" s="115"/>
      <c r="G48" s="230"/>
      <c r="H48" s="115"/>
      <c r="I48" s="45"/>
    </row>
    <row r="49" spans="3:9" ht="12.75">
      <c r="C49" s="240" t="s">
        <v>560</v>
      </c>
      <c r="D49" s="81"/>
      <c r="E49" s="191"/>
      <c r="F49" s="128"/>
      <c r="G49" s="225"/>
      <c r="H49" s="141"/>
      <c r="I49" s="56"/>
    </row>
    <row r="50" spans="3:9" ht="12.75">
      <c r="C50" s="49" t="s">
        <v>561</v>
      </c>
      <c r="D50" s="232"/>
      <c r="E50" s="128"/>
      <c r="F50" s="128"/>
      <c r="G50" s="213"/>
      <c r="H50" s="137"/>
      <c r="I50" s="50"/>
    </row>
    <row r="51" spans="4:9" ht="12.75">
      <c r="D51" s="4"/>
      <c r="H51" s="53"/>
      <c r="I51" s="19"/>
    </row>
    <row r="52" spans="4:9" ht="12.75">
      <c r="D52" s="4"/>
      <c r="H52" s="53"/>
      <c r="I52" s="53"/>
    </row>
    <row r="53" ht="12.75">
      <c r="I53" s="57"/>
    </row>
    <row r="54" ht="12.75">
      <c r="I54" s="58"/>
    </row>
    <row r="55" ht="12.75">
      <c r="H55" s="55"/>
    </row>
  </sheetData>
  <sheetProtection password="8451" sheet="1" objects="1" scenarios="1"/>
  <mergeCells count="4">
    <mergeCell ref="A2:H2"/>
    <mergeCell ref="A3:H3"/>
    <mergeCell ref="A4:H4"/>
    <mergeCell ref="A5:H5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0">
      <selection activeCell="I57" activeCellId="1" sqref="I43 I57"/>
    </sheetView>
  </sheetViews>
  <sheetFormatPr defaultColWidth="9.140625" defaultRowHeight="12.75"/>
  <cols>
    <col min="1" max="1" width="35.00390625" style="2" customWidth="1"/>
    <col min="2" max="4" width="11.421875" style="25" customWidth="1"/>
    <col min="5" max="5" width="12.00390625" style="25" bestFit="1" customWidth="1"/>
    <col min="6" max="6" width="6.8515625" style="2" bestFit="1" customWidth="1"/>
    <col min="7" max="16384" width="11.421875" style="2" customWidth="1"/>
  </cols>
  <sheetData>
    <row r="1" spans="5:6" ht="12.75">
      <c r="E1" s="245" t="s">
        <v>14</v>
      </c>
      <c r="F1" s="245"/>
    </row>
    <row r="2" spans="1:6" ht="15">
      <c r="A2" s="244" t="s">
        <v>398</v>
      </c>
      <c r="B2" s="244"/>
      <c r="C2" s="244"/>
      <c r="D2" s="244"/>
      <c r="E2" s="244"/>
      <c r="F2" s="244"/>
    </row>
    <row r="3" spans="1:6" ht="15">
      <c r="A3" s="246" t="s">
        <v>557</v>
      </c>
      <c r="B3" s="246"/>
      <c r="C3" s="246"/>
      <c r="D3" s="246"/>
      <c r="E3" s="246"/>
      <c r="F3" s="246"/>
    </row>
    <row r="4" spans="1:6" ht="15">
      <c r="A4" s="244" t="s">
        <v>407</v>
      </c>
      <c r="B4" s="244"/>
      <c r="C4" s="244"/>
      <c r="D4" s="244"/>
      <c r="E4" s="244"/>
      <c r="F4" s="244"/>
    </row>
    <row r="5" spans="1:7" ht="15">
      <c r="A5" s="244" t="s">
        <v>531</v>
      </c>
      <c r="B5" s="244"/>
      <c r="C5" s="244"/>
      <c r="D5" s="244"/>
      <c r="E5" s="244"/>
      <c r="F5" s="244"/>
      <c r="G5" s="41"/>
    </row>
    <row r="6" spans="1:6" ht="8.25" customHeight="1">
      <c r="A6" s="19"/>
      <c r="B6" s="19"/>
      <c r="C6" s="19"/>
      <c r="D6" s="19"/>
      <c r="E6" s="19"/>
      <c r="F6" s="19"/>
    </row>
    <row r="7" spans="1:6" ht="8.25" customHeight="1">
      <c r="A7" s="19"/>
      <c r="B7" s="19"/>
      <c r="C7" s="19"/>
      <c r="D7" s="19"/>
      <c r="E7" s="19"/>
      <c r="F7" s="19"/>
    </row>
    <row r="8" spans="1:6" ht="10.5" customHeight="1">
      <c r="A8" s="19"/>
      <c r="B8" s="19"/>
      <c r="C8" s="19"/>
      <c r="D8" s="19"/>
      <c r="E8" s="19"/>
      <c r="F8" s="19"/>
    </row>
    <row r="9" spans="1:6" ht="10.5" customHeight="1">
      <c r="A9" s="81"/>
      <c r="B9" s="81"/>
      <c r="C9" s="81"/>
      <c r="D9" s="81"/>
      <c r="E9" s="81"/>
      <c r="F9" s="3"/>
    </row>
    <row r="10" spans="1:6" ht="18.75" customHeight="1">
      <c r="A10" s="106" t="s">
        <v>19</v>
      </c>
      <c r="B10" s="107" t="s">
        <v>483</v>
      </c>
      <c r="C10" s="107" t="s">
        <v>484</v>
      </c>
      <c r="D10" s="107" t="s">
        <v>520</v>
      </c>
      <c r="E10" s="106" t="s">
        <v>20</v>
      </c>
      <c r="F10" s="96" t="s">
        <v>21</v>
      </c>
    </row>
    <row r="11" spans="1:6" ht="12.75">
      <c r="A11" s="81"/>
      <c r="B11" s="81"/>
      <c r="C11" s="81"/>
      <c r="D11" s="81"/>
      <c r="E11" s="81"/>
      <c r="F11" s="3"/>
    </row>
    <row r="12" ht="6" customHeight="1"/>
    <row r="13" spans="1:6" ht="12.75">
      <c r="A13" s="7" t="s">
        <v>73</v>
      </c>
      <c r="B13" s="186">
        <v>1169212</v>
      </c>
      <c r="C13" s="186">
        <v>1215555</v>
      </c>
      <c r="D13" s="186">
        <v>1460248</v>
      </c>
      <c r="E13" s="186">
        <f>SUM(B13:D13)</f>
        <v>3845015</v>
      </c>
      <c r="F13" s="199">
        <f aca="true" t="shared" si="0" ref="F13:F45">(E13/$E$47)*100</f>
        <v>17.511338384554296</v>
      </c>
    </row>
    <row r="14" spans="1:6" ht="12.75">
      <c r="A14" s="7" t="s">
        <v>74</v>
      </c>
      <c r="B14" s="186">
        <v>122</v>
      </c>
      <c r="C14" s="186">
        <v>240412.03</v>
      </c>
      <c r="D14" s="186">
        <v>584159.46</v>
      </c>
      <c r="E14" s="186">
        <f aca="true" t="shared" si="1" ref="E14:E45">SUM(B14:D14)</f>
        <v>824693.49</v>
      </c>
      <c r="F14" s="199">
        <f t="shared" si="0"/>
        <v>3.7558986810009958</v>
      </c>
    </row>
    <row r="15" spans="1:6" ht="12.75">
      <c r="A15" s="7" t="s">
        <v>75</v>
      </c>
      <c r="B15" s="186">
        <v>727119.04</v>
      </c>
      <c r="C15" s="186">
        <v>796118.38</v>
      </c>
      <c r="D15" s="186">
        <v>823003.49</v>
      </c>
      <c r="E15" s="186">
        <f t="shared" si="1"/>
        <v>2346240.91</v>
      </c>
      <c r="F15" s="199">
        <f t="shared" si="0"/>
        <v>10.685476781415574</v>
      </c>
    </row>
    <row r="16" spans="1:6" ht="12.75">
      <c r="A16" s="7" t="s">
        <v>151</v>
      </c>
      <c r="B16" s="186">
        <v>124901</v>
      </c>
      <c r="C16" s="186">
        <v>134462</v>
      </c>
      <c r="D16" s="186">
        <v>140853.54</v>
      </c>
      <c r="E16" s="186">
        <f t="shared" si="1"/>
        <v>400216.54000000004</v>
      </c>
      <c r="F16" s="199">
        <f t="shared" si="0"/>
        <v>1.8227047902376219</v>
      </c>
    </row>
    <row r="17" spans="1:6" ht="12.75">
      <c r="A17" s="7" t="s">
        <v>76</v>
      </c>
      <c r="B17" s="186">
        <v>84360.92</v>
      </c>
      <c r="C17" s="186">
        <f>20000+64786.92</f>
        <v>84786.92</v>
      </c>
      <c r="D17" s="186">
        <v>64786.92</v>
      </c>
      <c r="E17" s="186">
        <f t="shared" si="1"/>
        <v>233934.76</v>
      </c>
      <c r="F17" s="199">
        <f t="shared" si="0"/>
        <v>1.0654082603759667</v>
      </c>
    </row>
    <row r="18" spans="1:6" ht="12.75">
      <c r="A18" s="7" t="s">
        <v>449</v>
      </c>
      <c r="B18" s="186">
        <v>5750</v>
      </c>
      <c r="C18" s="186"/>
      <c r="D18" s="186"/>
      <c r="E18" s="186">
        <f t="shared" si="1"/>
        <v>5750</v>
      </c>
      <c r="F18" s="199">
        <f t="shared" si="0"/>
        <v>0.026187204916284384</v>
      </c>
    </row>
    <row r="19" spans="1:6" ht="12.75">
      <c r="A19" s="7" t="s">
        <v>294</v>
      </c>
      <c r="B19" s="186">
        <f>187223+1363.35</f>
        <v>188586.35</v>
      </c>
      <c r="C19" s="186">
        <v>247996.94</v>
      </c>
      <c r="D19" s="186">
        <f>140245.21+68489.4+17.25+17.25</f>
        <v>208769.11</v>
      </c>
      <c r="E19" s="186">
        <f t="shared" si="1"/>
        <v>645352.4</v>
      </c>
      <c r="F19" s="199">
        <f t="shared" si="0"/>
        <v>2.939126181220161</v>
      </c>
    </row>
    <row r="20" spans="1:6" ht="12.75">
      <c r="A20" s="7" t="s">
        <v>295</v>
      </c>
      <c r="B20" s="186">
        <v>20800</v>
      </c>
      <c r="C20" s="186">
        <v>20800</v>
      </c>
      <c r="D20" s="186">
        <v>20200</v>
      </c>
      <c r="E20" s="186">
        <f t="shared" si="1"/>
        <v>61800</v>
      </c>
      <c r="F20" s="199">
        <f t="shared" si="0"/>
        <v>0.2814555241437174</v>
      </c>
    </row>
    <row r="21" spans="1:6" ht="12.75">
      <c r="A21" s="7" t="s">
        <v>77</v>
      </c>
      <c r="B21" s="186">
        <v>24489.3</v>
      </c>
      <c r="C21" s="186">
        <v>3671.18</v>
      </c>
      <c r="D21" s="186">
        <v>44747.65</v>
      </c>
      <c r="E21" s="186">
        <f t="shared" si="1"/>
        <v>72908.13</v>
      </c>
      <c r="F21" s="199">
        <f t="shared" si="0"/>
        <v>0.33204524180401757</v>
      </c>
    </row>
    <row r="22" spans="1:6" ht="12.75">
      <c r="A22" s="7" t="s">
        <v>457</v>
      </c>
      <c r="B22" s="186"/>
      <c r="C22" s="186"/>
      <c r="D22" s="186">
        <v>2605798.27</v>
      </c>
      <c r="E22" s="186">
        <f t="shared" si="1"/>
        <v>2605798.27</v>
      </c>
      <c r="F22" s="199">
        <f t="shared" si="0"/>
        <v>11.867577959476407</v>
      </c>
    </row>
    <row r="23" spans="1:6" ht="12.75">
      <c r="A23" s="7" t="s">
        <v>78</v>
      </c>
      <c r="B23" s="186">
        <v>338790</v>
      </c>
      <c r="C23" s="186">
        <v>190141</v>
      </c>
      <c r="D23" s="186">
        <v>563094.68</v>
      </c>
      <c r="E23" s="186">
        <f t="shared" si="1"/>
        <v>1092025.6800000002</v>
      </c>
      <c r="F23" s="199">
        <f t="shared" si="0"/>
        <v>4.973408740174748</v>
      </c>
    </row>
    <row r="24" spans="1:6" ht="12.75">
      <c r="A24" s="7" t="s">
        <v>361</v>
      </c>
      <c r="B24" s="186">
        <v>103500</v>
      </c>
      <c r="C24" s="186">
        <v>74750</v>
      </c>
      <c r="D24" s="186">
        <v>127650</v>
      </c>
      <c r="E24" s="186">
        <f t="shared" si="1"/>
        <v>305900</v>
      </c>
      <c r="F24" s="199">
        <f t="shared" si="0"/>
        <v>1.393159301546329</v>
      </c>
    </row>
    <row r="25" spans="1:6" ht="12.75">
      <c r="A25" s="7" t="s">
        <v>373</v>
      </c>
      <c r="B25" s="186">
        <v>15000</v>
      </c>
      <c r="C25" s="186">
        <v>11500</v>
      </c>
      <c r="D25" s="186">
        <v>24725</v>
      </c>
      <c r="E25" s="186">
        <f t="shared" si="1"/>
        <v>51225</v>
      </c>
      <c r="F25" s="199">
        <f t="shared" si="0"/>
        <v>0.23329383858029</v>
      </c>
    </row>
    <row r="26" spans="1:6" ht="12.75">
      <c r="A26" s="7" t="s">
        <v>79</v>
      </c>
      <c r="B26" s="186">
        <v>268155.55</v>
      </c>
      <c r="C26" s="186">
        <v>497675.92</v>
      </c>
      <c r="D26" s="186">
        <v>621156.29</v>
      </c>
      <c r="E26" s="186">
        <f t="shared" si="1"/>
        <v>1386987.76</v>
      </c>
      <c r="F26" s="199">
        <f t="shared" si="0"/>
        <v>6.316753510869264</v>
      </c>
    </row>
    <row r="27" spans="1:6" ht="12.75">
      <c r="A27" s="7" t="s">
        <v>80</v>
      </c>
      <c r="B27" s="186">
        <v>158183.86</v>
      </c>
      <c r="C27" s="186"/>
      <c r="D27" s="186">
        <v>122477.6</v>
      </c>
      <c r="E27" s="186">
        <f t="shared" si="1"/>
        <v>280661.45999999996</v>
      </c>
      <c r="F27" s="199">
        <f t="shared" si="0"/>
        <v>1.278215506978009</v>
      </c>
    </row>
    <row r="28" spans="1:6" ht="12.75">
      <c r="A28" s="7" t="s">
        <v>144</v>
      </c>
      <c r="B28" s="186">
        <v>1183567.99</v>
      </c>
      <c r="C28" s="186">
        <v>3737.5</v>
      </c>
      <c r="D28" s="186">
        <v>17836.5</v>
      </c>
      <c r="E28" s="186">
        <f t="shared" si="1"/>
        <v>1205141.99</v>
      </c>
      <c r="F28" s="199">
        <f t="shared" si="0"/>
        <v>5.488573955712825</v>
      </c>
    </row>
    <row r="29" spans="1:6" ht="12.75">
      <c r="A29" s="7" t="s">
        <v>168</v>
      </c>
      <c r="B29" s="186">
        <v>13800</v>
      </c>
      <c r="C29" s="186">
        <v>5750</v>
      </c>
      <c r="D29" s="186">
        <v>11210</v>
      </c>
      <c r="E29" s="186">
        <f t="shared" si="1"/>
        <v>30760</v>
      </c>
      <c r="F29" s="199">
        <f t="shared" si="0"/>
        <v>0.1400901605608535</v>
      </c>
    </row>
    <row r="30" spans="1:6" ht="12.75">
      <c r="A30" s="7" t="s">
        <v>462</v>
      </c>
      <c r="B30" s="186"/>
      <c r="C30" s="186">
        <v>5720</v>
      </c>
      <c r="D30" s="186"/>
      <c r="E30" s="186">
        <f t="shared" si="1"/>
        <v>5720</v>
      </c>
      <c r="F30" s="199">
        <f t="shared" si="0"/>
        <v>0.02605057602106899</v>
      </c>
    </row>
    <row r="31" spans="1:6" ht="12.75">
      <c r="A31" s="7" t="s">
        <v>473</v>
      </c>
      <c r="B31" s="186">
        <v>84847.07</v>
      </c>
      <c r="C31" s="186">
        <v>84691.53</v>
      </c>
      <c r="D31" s="186">
        <f>10000+82202.89</f>
        <v>92202.89</v>
      </c>
      <c r="E31" s="186">
        <f t="shared" si="1"/>
        <v>261741.49</v>
      </c>
      <c r="F31" s="199">
        <f t="shared" si="0"/>
        <v>1.1920483536910607</v>
      </c>
    </row>
    <row r="32" spans="1:6" ht="12.75">
      <c r="A32" s="7" t="s">
        <v>81</v>
      </c>
      <c r="B32" s="186">
        <v>17439.15</v>
      </c>
      <c r="C32" s="186">
        <v>44794</v>
      </c>
      <c r="D32" s="186">
        <v>226692</v>
      </c>
      <c r="E32" s="186">
        <f t="shared" si="1"/>
        <v>288925.15</v>
      </c>
      <c r="F32" s="199">
        <f t="shared" si="0"/>
        <v>1.3158508014814267</v>
      </c>
    </row>
    <row r="33" spans="1:6" ht="12.75">
      <c r="A33" s="7" t="s">
        <v>536</v>
      </c>
      <c r="B33" s="186"/>
      <c r="C33" s="186"/>
      <c r="D33" s="186">
        <v>4962</v>
      </c>
      <c r="E33" s="186">
        <f>SUM(B33:D33)</f>
        <v>4962</v>
      </c>
      <c r="F33" s="199">
        <f t="shared" si="0"/>
        <v>0.02259841926862663</v>
      </c>
    </row>
    <row r="34" spans="1:6" ht="12.75">
      <c r="A34" s="7" t="s">
        <v>416</v>
      </c>
      <c r="B34" s="186">
        <v>510800</v>
      </c>
      <c r="C34" s="186"/>
      <c r="D34" s="186">
        <v>1049928</v>
      </c>
      <c r="E34" s="186">
        <f t="shared" si="1"/>
        <v>1560728</v>
      </c>
      <c r="F34" s="199">
        <f t="shared" si="0"/>
        <v>7.108018079057859</v>
      </c>
    </row>
    <row r="35" spans="1:7" ht="12.75">
      <c r="A35" s="7" t="s">
        <v>350</v>
      </c>
      <c r="B35" s="186">
        <v>101454.1</v>
      </c>
      <c r="C35" s="186">
        <v>71776.5</v>
      </c>
      <c r="D35" s="186">
        <v>86794.8</v>
      </c>
      <c r="E35" s="186">
        <f t="shared" si="1"/>
        <v>260025.40000000002</v>
      </c>
      <c r="F35" s="199">
        <f t="shared" si="0"/>
        <v>1.1842327709980547</v>
      </c>
      <c r="G35" s="72"/>
    </row>
    <row r="36" spans="1:6" ht="12.75">
      <c r="A36" s="7" t="s">
        <v>82</v>
      </c>
      <c r="B36" s="186">
        <f>647702.85+102642</f>
        <v>750344.85</v>
      </c>
      <c r="C36" s="186">
        <v>341061.6</v>
      </c>
      <c r="D36" s="186">
        <v>184916.79</v>
      </c>
      <c r="E36" s="186">
        <f t="shared" si="1"/>
        <v>1276323.24</v>
      </c>
      <c r="F36" s="199">
        <f t="shared" si="0"/>
        <v>5.812754473964524</v>
      </c>
    </row>
    <row r="37" spans="1:6" ht="12.75">
      <c r="A37" s="7" t="s">
        <v>341</v>
      </c>
      <c r="B37" s="186">
        <v>2216</v>
      </c>
      <c r="C37" s="186"/>
      <c r="D37" s="186">
        <v>4617</v>
      </c>
      <c r="E37" s="186">
        <f t="shared" si="1"/>
        <v>6833</v>
      </c>
      <c r="F37" s="199">
        <f t="shared" si="0"/>
        <v>0.031119508033560204</v>
      </c>
    </row>
    <row r="38" spans="1:6" ht="12.75">
      <c r="A38" s="7" t="s">
        <v>308</v>
      </c>
      <c r="B38" s="186">
        <v>25699.35</v>
      </c>
      <c r="C38" s="186">
        <v>80650</v>
      </c>
      <c r="D38" s="186">
        <v>221450</v>
      </c>
      <c r="E38" s="186">
        <f t="shared" si="1"/>
        <v>327799.35</v>
      </c>
      <c r="F38" s="199">
        <f t="shared" si="0"/>
        <v>1.4928954347608392</v>
      </c>
    </row>
    <row r="39" spans="1:6" ht="12.75">
      <c r="A39" s="7" t="s">
        <v>83</v>
      </c>
      <c r="B39" s="186">
        <v>110500</v>
      </c>
      <c r="C39" s="186">
        <f>428851.17+7000</f>
        <v>435851.17</v>
      </c>
      <c r="D39" s="186">
        <v>218505</v>
      </c>
      <c r="E39" s="186">
        <f t="shared" si="1"/>
        <v>764856.1699999999</v>
      </c>
      <c r="F39" s="199">
        <f t="shared" si="0"/>
        <v>3.48338178352599</v>
      </c>
    </row>
    <row r="40" spans="1:6" ht="12.75">
      <c r="A40" s="7" t="s">
        <v>447</v>
      </c>
      <c r="B40" s="186"/>
      <c r="C40" s="186">
        <v>8050</v>
      </c>
      <c r="D40" s="186"/>
      <c r="E40" s="186">
        <f t="shared" si="1"/>
        <v>8050</v>
      </c>
      <c r="F40" s="199">
        <f t="shared" si="0"/>
        <v>0.03666208688279814</v>
      </c>
    </row>
    <row r="41" spans="1:6" ht="12.75">
      <c r="A41" s="7" t="s">
        <v>421</v>
      </c>
      <c r="B41" s="186">
        <v>64975</v>
      </c>
      <c r="C41" s="186">
        <v>44677.5</v>
      </c>
      <c r="D41" s="186">
        <v>54797.5</v>
      </c>
      <c r="E41" s="186">
        <f t="shared" si="1"/>
        <v>164450</v>
      </c>
      <c r="F41" s="199">
        <f t="shared" si="0"/>
        <v>0.7489540606057334</v>
      </c>
    </row>
    <row r="42" spans="1:6" ht="12.75">
      <c r="A42" s="7" t="s">
        <v>463</v>
      </c>
      <c r="B42" s="186">
        <v>62400.7</v>
      </c>
      <c r="C42" s="186">
        <v>288132</v>
      </c>
      <c r="D42" s="186">
        <v>710612</v>
      </c>
      <c r="E42" s="186">
        <f t="shared" si="1"/>
        <v>1061144.7</v>
      </c>
      <c r="F42" s="199">
        <f t="shared" si="0"/>
        <v>4.8327676008224545</v>
      </c>
    </row>
    <row r="43" spans="1:6" ht="12.75">
      <c r="A43" s="7" t="s">
        <v>474</v>
      </c>
      <c r="B43" s="186"/>
      <c r="C43" s="186"/>
      <c r="D43" s="186">
        <v>550850</v>
      </c>
      <c r="E43" s="186">
        <f t="shared" si="1"/>
        <v>550850</v>
      </c>
      <c r="F43" s="199">
        <f t="shared" si="0"/>
        <v>2.508734230980044</v>
      </c>
    </row>
    <row r="44" spans="1:6" ht="12.75">
      <c r="A44" s="7" t="s">
        <v>258</v>
      </c>
      <c r="B44" s="186">
        <v>5203.82</v>
      </c>
      <c r="C44" s="186"/>
      <c r="D44" s="186">
        <v>5264.28</v>
      </c>
      <c r="E44" s="186">
        <f t="shared" si="1"/>
        <v>10468.099999999999</v>
      </c>
      <c r="F44" s="199">
        <f t="shared" si="0"/>
        <v>0.047674831266809825</v>
      </c>
    </row>
    <row r="45" spans="1:6" ht="12.75">
      <c r="A45" s="7" t="s">
        <v>519</v>
      </c>
      <c r="B45" s="186"/>
      <c r="C45" s="186">
        <v>10000</v>
      </c>
      <c r="D45" s="186"/>
      <c r="E45" s="186">
        <f t="shared" si="1"/>
        <v>10000</v>
      </c>
      <c r="F45" s="199">
        <f t="shared" si="0"/>
        <v>0.04554296507179893</v>
      </c>
    </row>
    <row r="46" spans="1:6" ht="12.75">
      <c r="A46" s="7"/>
      <c r="B46" s="186"/>
      <c r="C46" s="186"/>
      <c r="D46" s="186"/>
      <c r="E46" s="186"/>
      <c r="F46" s="199"/>
    </row>
    <row r="47" spans="1:6" ht="13.5" thickBot="1">
      <c r="A47" s="3" t="s">
        <v>127</v>
      </c>
      <c r="B47" s="197">
        <f>SUM(B13:B45)</f>
        <v>6162218.05</v>
      </c>
      <c r="C47" s="197">
        <f>SUM(C13:C45)</f>
        <v>4942761.17</v>
      </c>
      <c r="D47" s="197">
        <f>SUM(D13:D45)</f>
        <v>10852308.769999998</v>
      </c>
      <c r="E47" s="197">
        <f>SUM(E13:E45)</f>
        <v>21957287.99</v>
      </c>
      <c r="F47" s="198">
        <f>SUM(F13:F45)</f>
        <v>99.99999999999999</v>
      </c>
    </row>
    <row r="48" spans="1:6" ht="13.5" thickTop="1">
      <c r="A48" s="19"/>
      <c r="B48" s="133"/>
      <c r="C48" s="133"/>
      <c r="D48" s="133"/>
      <c r="E48" s="133"/>
      <c r="F48" s="202"/>
    </row>
  </sheetData>
  <sheetProtection password="8451" sheet="1" objects="1" scenarios="1"/>
  <mergeCells count="5">
    <mergeCell ref="A5:F5"/>
    <mergeCell ref="E1:F1"/>
    <mergeCell ref="A2:F2"/>
    <mergeCell ref="A3:F3"/>
    <mergeCell ref="A4:F4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7">
      <selection activeCell="I57" activeCellId="1" sqref="I43 I57"/>
    </sheetView>
  </sheetViews>
  <sheetFormatPr defaultColWidth="9.140625" defaultRowHeight="12.75"/>
  <cols>
    <col min="1" max="1" width="33.7109375" style="2" customWidth="1"/>
    <col min="2" max="5" width="12.7109375" style="25" customWidth="1"/>
    <col min="6" max="6" width="6.8515625" style="2" bestFit="1" customWidth="1"/>
    <col min="7" max="7" width="3.57421875" style="2" customWidth="1"/>
    <col min="8" max="16384" width="11.421875" style="2" customWidth="1"/>
  </cols>
  <sheetData>
    <row r="1" spans="5:6" ht="12.75">
      <c r="E1" s="245" t="s">
        <v>16</v>
      </c>
      <c r="F1" s="245"/>
    </row>
    <row r="2" spans="1:6" ht="15">
      <c r="A2" s="244" t="s">
        <v>398</v>
      </c>
      <c r="B2" s="244"/>
      <c r="C2" s="244"/>
      <c r="D2" s="244"/>
      <c r="E2" s="244"/>
      <c r="F2" s="244"/>
    </row>
    <row r="3" spans="1:6" ht="15">
      <c r="A3" s="246" t="s">
        <v>557</v>
      </c>
      <c r="B3" s="246"/>
      <c r="C3" s="246"/>
      <c r="D3" s="246"/>
      <c r="E3" s="246"/>
      <c r="F3" s="246"/>
    </row>
    <row r="4" spans="1:6" ht="15">
      <c r="A4" s="244" t="s">
        <v>408</v>
      </c>
      <c r="B4" s="244"/>
      <c r="C4" s="244"/>
      <c r="D4" s="244"/>
      <c r="E4" s="244"/>
      <c r="F4" s="244"/>
    </row>
    <row r="5" spans="1:7" ht="15">
      <c r="A5" s="244" t="s">
        <v>485</v>
      </c>
      <c r="B5" s="244"/>
      <c r="C5" s="244"/>
      <c r="D5" s="244"/>
      <c r="E5" s="244"/>
      <c r="F5" s="244"/>
      <c r="G5" s="41"/>
    </row>
    <row r="6" spans="1:7" ht="15">
      <c r="A6" s="103"/>
      <c r="B6" s="103"/>
      <c r="C6" s="103"/>
      <c r="D6" s="103"/>
      <c r="E6" s="103"/>
      <c r="F6" s="103"/>
      <c r="G6" s="41"/>
    </row>
    <row r="7" spans="1:7" ht="15">
      <c r="A7" s="103"/>
      <c r="B7" s="103"/>
      <c r="C7" s="103"/>
      <c r="D7" s="103"/>
      <c r="E7" s="103"/>
      <c r="F7" s="103"/>
      <c r="G7" s="41"/>
    </row>
    <row r="8" spans="1:7" ht="15">
      <c r="A8" s="103"/>
      <c r="B8" s="103"/>
      <c r="C8" s="103"/>
      <c r="D8" s="103"/>
      <c r="E8" s="103"/>
      <c r="F8" s="103"/>
      <c r="G8" s="41"/>
    </row>
    <row r="9" spans="1:6" ht="8.25" customHeight="1">
      <c r="A9" s="19"/>
      <c r="B9" s="19"/>
      <c r="C9" s="19"/>
      <c r="D9" s="19"/>
      <c r="E9" s="19"/>
      <c r="F9" s="19"/>
    </row>
    <row r="10" spans="1:6" ht="12.75">
      <c r="A10" s="81"/>
      <c r="B10" s="81"/>
      <c r="C10" s="81"/>
      <c r="D10" s="81"/>
      <c r="E10" s="81"/>
      <c r="F10" s="3"/>
    </row>
    <row r="11" spans="1:6" ht="16.5" customHeight="1">
      <c r="A11" s="106" t="s">
        <v>19</v>
      </c>
      <c r="B11" s="107" t="s">
        <v>483</v>
      </c>
      <c r="C11" s="107" t="s">
        <v>484</v>
      </c>
      <c r="D11" s="107" t="s">
        <v>520</v>
      </c>
      <c r="E11" s="106" t="s">
        <v>20</v>
      </c>
      <c r="F11" s="96" t="s">
        <v>21</v>
      </c>
    </row>
    <row r="12" spans="1:6" ht="12.75">
      <c r="A12" s="81"/>
      <c r="B12" s="81"/>
      <c r="C12" s="81"/>
      <c r="D12" s="81"/>
      <c r="E12" s="81"/>
      <c r="F12" s="3"/>
    </row>
    <row r="13" ht="6" customHeight="1"/>
    <row r="14" spans="1:7" ht="18" customHeight="1">
      <c r="A14" s="7" t="s">
        <v>221</v>
      </c>
      <c r="B14" s="186">
        <f>'G.C.Op'!B158</f>
        <v>26596851.72</v>
      </c>
      <c r="C14" s="186">
        <f>'G.C.Op'!C158</f>
        <v>27313789.429999996</v>
      </c>
      <c r="D14" s="186">
        <f>'G.C.Op'!D158</f>
        <v>39499155.00000001</v>
      </c>
      <c r="E14" s="186">
        <f>SUM(B14:D14)</f>
        <v>93409796.15</v>
      </c>
      <c r="F14" s="199">
        <f>(E14/$E$20)*100</f>
        <v>59.62793664838445</v>
      </c>
      <c r="G14" s="74"/>
    </row>
    <row r="15" spans="1:7" ht="18" customHeight="1">
      <c r="A15" s="7" t="s">
        <v>159</v>
      </c>
      <c r="B15" s="186">
        <f>'G.C.Viat'!B51</f>
        <v>82377.26000000001</v>
      </c>
      <c r="C15" s="186">
        <f>'G.C.Viat'!C51</f>
        <v>225603.16999999998</v>
      </c>
      <c r="D15" s="186">
        <f>'G.C.Viat'!D51</f>
        <v>166498</v>
      </c>
      <c r="E15" s="186">
        <f>SUM(B15:D15)</f>
        <v>474478.43</v>
      </c>
      <c r="F15" s="199">
        <f>(E15/$E$20)*100</f>
        <v>0.3028822557286452</v>
      </c>
      <c r="G15" s="74"/>
    </row>
    <row r="16" spans="1:7" ht="18" customHeight="1">
      <c r="A16" s="7" t="s">
        <v>84</v>
      </c>
      <c r="B16" s="186">
        <f>'G.C.Ing.Prop'!B136</f>
        <v>6164773.53</v>
      </c>
      <c r="C16" s="186">
        <f>'G.C.Ing.Prop'!C136</f>
        <v>8882743.11</v>
      </c>
      <c r="D16" s="186">
        <f>'G.C.Ing.Prop'!D136</f>
        <v>11403288.350000001</v>
      </c>
      <c r="E16" s="186">
        <f>SUM(B16:D16)</f>
        <v>26450804.990000002</v>
      </c>
      <c r="F16" s="199">
        <f>(E16/$E$20)*100</f>
        <v>16.88481282744445</v>
      </c>
      <c r="G16" s="74"/>
    </row>
    <row r="17" spans="1:7" ht="18" customHeight="1">
      <c r="A17" s="7" t="s">
        <v>160</v>
      </c>
      <c r="B17" s="186">
        <f>'G.C.Donat'!B30</f>
        <v>566739.28</v>
      </c>
      <c r="C17" s="186">
        <f>'G.C.Donat'!C30</f>
        <v>52591.58</v>
      </c>
      <c r="D17" s="186">
        <f>'G.C.Donat'!D30</f>
        <v>437394.24</v>
      </c>
      <c r="E17" s="186">
        <f>SUM(B17:D17)</f>
        <v>1056725.1</v>
      </c>
      <c r="F17" s="199">
        <f>(E17/$E$20)*100</f>
        <v>0.6745581289608427</v>
      </c>
      <c r="G17" s="74"/>
    </row>
    <row r="18" spans="1:7" ht="18" customHeight="1">
      <c r="A18" s="7" t="s">
        <v>222</v>
      </c>
      <c r="B18" s="186">
        <f>'G.C.Etiq'!B19</f>
        <v>8650605.780000001</v>
      </c>
      <c r="C18" s="186">
        <f>'G.C.Etiq'!C19</f>
        <v>9215609.190000001</v>
      </c>
      <c r="D18" s="186">
        <f>'G.C.Etiq'!D19</f>
        <v>17396396.73</v>
      </c>
      <c r="E18" s="186">
        <f>SUM(B18:D18)</f>
        <v>35262611.7</v>
      </c>
      <c r="F18" s="199">
        <f>(E18/$E$20)*100</f>
        <v>22.509810139481612</v>
      </c>
      <c r="G18" s="74"/>
    </row>
    <row r="19" spans="1:7" ht="12.75">
      <c r="A19" s="7"/>
      <c r="B19" s="186"/>
      <c r="C19" s="186"/>
      <c r="D19" s="186"/>
      <c r="E19" s="186"/>
      <c r="F19" s="199"/>
      <c r="G19" s="74"/>
    </row>
    <row r="20" spans="1:7" ht="19.5" customHeight="1" thickBot="1">
      <c r="A20" s="3" t="s">
        <v>127</v>
      </c>
      <c r="B20" s="197">
        <f>SUM(B14:B18)</f>
        <v>42061347.57000001</v>
      </c>
      <c r="C20" s="197">
        <f>SUM(C14:C18)</f>
        <v>45690336.47999999</v>
      </c>
      <c r="D20" s="197">
        <f>SUM(D14:D18)</f>
        <v>68902732.32000001</v>
      </c>
      <c r="E20" s="197">
        <f>SUM(E14:E18)</f>
        <v>156654416.37</v>
      </c>
      <c r="F20" s="198">
        <f>SUM(F14:F18)</f>
        <v>100</v>
      </c>
      <c r="G20" s="74" t="s">
        <v>23</v>
      </c>
    </row>
    <row r="21" spans="1:7" ht="13.5" thickTop="1">
      <c r="A21" s="19"/>
      <c r="B21" s="133"/>
      <c r="C21" s="133"/>
      <c r="D21" s="133"/>
      <c r="E21" s="133"/>
      <c r="F21" s="202"/>
      <c r="G21" s="73"/>
    </row>
    <row r="36" ht="12.75">
      <c r="A36" s="10"/>
    </row>
    <row r="39" ht="12.75">
      <c r="A39" s="10" t="s">
        <v>59</v>
      </c>
    </row>
    <row r="40" ht="12.75">
      <c r="A40" s="75"/>
    </row>
    <row r="41" ht="12.75">
      <c r="A41" s="10" t="s">
        <v>393</v>
      </c>
    </row>
    <row r="54" ht="12.75">
      <c r="A54" s="10"/>
    </row>
    <row r="55" spans="1:7" ht="12.75">
      <c r="A55" s="249"/>
      <c r="B55" s="250"/>
      <c r="C55" s="250"/>
      <c r="D55" s="250"/>
      <c r="E55" s="250"/>
      <c r="F55" s="250"/>
      <c r="G55" s="250"/>
    </row>
  </sheetData>
  <sheetProtection password="8451" sheet="1" objects="1" scenarios="1"/>
  <mergeCells count="6">
    <mergeCell ref="A55:G55"/>
    <mergeCell ref="A5:F5"/>
    <mergeCell ref="E1:F1"/>
    <mergeCell ref="A2:F2"/>
    <mergeCell ref="A3:F3"/>
    <mergeCell ref="A4:F4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139">
      <selection activeCell="I57" activeCellId="1" sqref="I43 I57"/>
    </sheetView>
  </sheetViews>
  <sheetFormatPr defaultColWidth="9.140625" defaultRowHeight="12.75"/>
  <cols>
    <col min="1" max="1" width="42.57421875" style="2" customWidth="1"/>
    <col min="2" max="3" width="11.140625" style="25" bestFit="1" customWidth="1"/>
    <col min="4" max="4" width="11.140625" style="25" customWidth="1"/>
    <col min="5" max="5" width="11.7109375" style="25" bestFit="1" customWidth="1"/>
    <col min="6" max="6" width="6.57421875" style="2" bestFit="1" customWidth="1"/>
    <col min="7" max="7" width="2.7109375" style="2" customWidth="1"/>
    <col min="8" max="16384" width="11.421875" style="2" customWidth="1"/>
  </cols>
  <sheetData>
    <row r="1" spans="5:6" ht="12.75">
      <c r="E1" s="245" t="s">
        <v>153</v>
      </c>
      <c r="F1" s="245"/>
    </row>
    <row r="2" spans="5:6" ht="12.75">
      <c r="E2" s="251" t="s">
        <v>425</v>
      </c>
      <c r="F2" s="245"/>
    </row>
    <row r="3" spans="1:6" ht="15">
      <c r="A3" s="244" t="s">
        <v>398</v>
      </c>
      <c r="B3" s="244"/>
      <c r="C3" s="244"/>
      <c r="D3" s="244"/>
      <c r="E3" s="244"/>
      <c r="F3" s="244"/>
    </row>
    <row r="4" spans="1:6" ht="15">
      <c r="A4" s="246" t="s">
        <v>557</v>
      </c>
      <c r="B4" s="246"/>
      <c r="C4" s="246"/>
      <c r="D4" s="246"/>
      <c r="E4" s="246"/>
      <c r="F4" s="246"/>
    </row>
    <row r="5" spans="1:6" ht="15">
      <c r="A5" s="244" t="s">
        <v>409</v>
      </c>
      <c r="B5" s="244"/>
      <c r="C5" s="244"/>
      <c r="D5" s="244"/>
      <c r="E5" s="244"/>
      <c r="F5" s="244"/>
    </row>
    <row r="6" spans="1:7" ht="15">
      <c r="A6" s="244" t="s">
        <v>531</v>
      </c>
      <c r="B6" s="244"/>
      <c r="C6" s="244"/>
      <c r="D6" s="244"/>
      <c r="E6" s="244"/>
      <c r="F6" s="244"/>
      <c r="G6" s="41"/>
    </row>
    <row r="7" spans="1:6" ht="8.25" customHeight="1">
      <c r="A7" s="19"/>
      <c r="B7" s="19"/>
      <c r="C7" s="19"/>
      <c r="D7" s="19"/>
      <c r="E7" s="19"/>
      <c r="F7" s="19"/>
    </row>
    <row r="8" spans="1:6" ht="12.75">
      <c r="A8" s="81"/>
      <c r="B8" s="81"/>
      <c r="C8" s="81"/>
      <c r="D8" s="81"/>
      <c r="E8" s="81"/>
      <c r="F8" s="3"/>
    </row>
    <row r="9" spans="1:6" ht="12.75">
      <c r="A9" s="106" t="s">
        <v>19</v>
      </c>
      <c r="B9" s="107" t="s">
        <v>483</v>
      </c>
      <c r="C9" s="107" t="s">
        <v>484</v>
      </c>
      <c r="D9" s="107" t="s">
        <v>520</v>
      </c>
      <c r="E9" s="106" t="s">
        <v>20</v>
      </c>
      <c r="F9" s="96" t="s">
        <v>21</v>
      </c>
    </row>
    <row r="10" spans="1:6" ht="12.75">
      <c r="A10" s="81"/>
      <c r="B10" s="81"/>
      <c r="C10" s="81"/>
      <c r="D10" s="81"/>
      <c r="E10" s="81"/>
      <c r="F10" s="3"/>
    </row>
    <row r="11" ht="6" customHeight="1"/>
    <row r="12" spans="1:6" ht="12" customHeight="1">
      <c r="A12" s="2" t="s">
        <v>85</v>
      </c>
      <c r="B12" s="157">
        <v>75914.08</v>
      </c>
      <c r="C12" s="203">
        <v>54200</v>
      </c>
      <c r="D12" s="203">
        <v>99094.47</v>
      </c>
      <c r="E12" s="157">
        <f aca="true" t="shared" si="0" ref="E12:E54">SUM(B12:D12)</f>
        <v>229208.55</v>
      </c>
      <c r="F12" s="158">
        <f aca="true" t="shared" si="1" ref="F12:F54">(E12/$E$158*100)</f>
        <v>0.24537956343671988</v>
      </c>
    </row>
    <row r="13" spans="1:6" ht="12" customHeight="1">
      <c r="A13" s="2" t="s">
        <v>417</v>
      </c>
      <c r="B13" s="203">
        <v>100000</v>
      </c>
      <c r="C13" s="203">
        <v>50000</v>
      </c>
      <c r="D13" s="203"/>
      <c r="E13" s="157">
        <f t="shared" si="0"/>
        <v>150000</v>
      </c>
      <c r="F13" s="158">
        <f t="shared" si="1"/>
        <v>0.1605827292023268</v>
      </c>
    </row>
    <row r="14" spans="1:6" ht="12" customHeight="1">
      <c r="A14" s="2" t="s">
        <v>223</v>
      </c>
      <c r="B14" s="203">
        <v>27000</v>
      </c>
      <c r="C14" s="203">
        <v>29100</v>
      </c>
      <c r="D14" s="203">
        <v>17500</v>
      </c>
      <c r="E14" s="157">
        <f t="shared" si="0"/>
        <v>73600</v>
      </c>
      <c r="F14" s="158">
        <f t="shared" si="1"/>
        <v>0.07879259246194169</v>
      </c>
    </row>
    <row r="15" spans="1:6" ht="12" customHeight="1">
      <c r="A15" s="2" t="s">
        <v>418</v>
      </c>
      <c r="B15" s="203">
        <v>189613.5</v>
      </c>
      <c r="C15" s="203">
        <v>99250</v>
      </c>
      <c r="D15" s="203">
        <v>208000</v>
      </c>
      <c r="E15" s="157">
        <f t="shared" si="0"/>
        <v>496863.5</v>
      </c>
      <c r="F15" s="158">
        <f t="shared" si="1"/>
        <v>0.5319179791401354</v>
      </c>
    </row>
    <row r="16" spans="1:6" ht="12" customHeight="1">
      <c r="A16" s="2" t="s">
        <v>216</v>
      </c>
      <c r="B16" s="203">
        <v>135052.68</v>
      </c>
      <c r="C16" s="203">
        <v>59500</v>
      </c>
      <c r="D16" s="203">
        <v>75692.5</v>
      </c>
      <c r="E16" s="157">
        <f t="shared" si="0"/>
        <v>270245.18</v>
      </c>
      <c r="F16" s="158">
        <f t="shared" si="1"/>
        <v>0.2893113903878271</v>
      </c>
    </row>
    <row r="17" spans="1:6" ht="12" customHeight="1">
      <c r="A17" s="2" t="s">
        <v>446</v>
      </c>
      <c r="B17" s="203">
        <v>7742.22</v>
      </c>
      <c r="C17" s="186">
        <v>5000</v>
      </c>
      <c r="D17" s="186">
        <v>12542.88</v>
      </c>
      <c r="E17" s="157">
        <f t="shared" si="0"/>
        <v>25285.1</v>
      </c>
      <c r="F17" s="158">
        <f t="shared" si="1"/>
        <v>0.02706900244102502</v>
      </c>
    </row>
    <row r="18" spans="1:6" ht="12" customHeight="1">
      <c r="A18" s="2" t="s">
        <v>86</v>
      </c>
      <c r="B18" s="203">
        <v>44977</v>
      </c>
      <c r="C18" s="203">
        <v>12000</v>
      </c>
      <c r="D18" s="203">
        <v>12000</v>
      </c>
      <c r="E18" s="157">
        <f t="shared" si="0"/>
        <v>68977</v>
      </c>
      <c r="F18" s="158">
        <f t="shared" si="1"/>
        <v>0.07384343274792597</v>
      </c>
    </row>
    <row r="19" spans="1:6" ht="12" customHeight="1">
      <c r="A19" s="8" t="s">
        <v>459</v>
      </c>
      <c r="B19" s="203"/>
      <c r="C19" s="203">
        <v>17000</v>
      </c>
      <c r="D19" s="203">
        <v>34000</v>
      </c>
      <c r="E19" s="157">
        <f t="shared" si="0"/>
        <v>51000</v>
      </c>
      <c r="F19" s="158">
        <f t="shared" si="1"/>
        <v>0.05459812792879111</v>
      </c>
    </row>
    <row r="20" spans="1:6" ht="12" customHeight="1">
      <c r="A20" s="8" t="s">
        <v>277</v>
      </c>
      <c r="B20" s="203">
        <v>5000</v>
      </c>
      <c r="C20" s="203"/>
      <c r="D20" s="203">
        <v>10000</v>
      </c>
      <c r="E20" s="157">
        <f t="shared" si="0"/>
        <v>15000</v>
      </c>
      <c r="F20" s="158">
        <f t="shared" si="1"/>
        <v>0.01605827292023268</v>
      </c>
    </row>
    <row r="21" spans="1:6" ht="12" customHeight="1">
      <c r="A21" s="8" t="s">
        <v>87</v>
      </c>
      <c r="B21" s="203">
        <v>7000</v>
      </c>
      <c r="C21" s="203">
        <v>5000</v>
      </c>
      <c r="D21" s="203">
        <v>261235.62</v>
      </c>
      <c r="E21" s="157">
        <f t="shared" si="0"/>
        <v>273235.62</v>
      </c>
      <c r="F21" s="158">
        <f t="shared" si="1"/>
        <v>0.2925128104992658</v>
      </c>
    </row>
    <row r="22" spans="1:6" ht="12" customHeight="1">
      <c r="A22" s="8" t="s">
        <v>88</v>
      </c>
      <c r="B22" s="203">
        <v>10000</v>
      </c>
      <c r="C22" s="203">
        <v>10000</v>
      </c>
      <c r="D22" s="203">
        <v>10000</v>
      </c>
      <c r="E22" s="157">
        <f t="shared" si="0"/>
        <v>30000</v>
      </c>
      <c r="F22" s="158">
        <f t="shared" si="1"/>
        <v>0.03211654584046536</v>
      </c>
    </row>
    <row r="23" spans="1:6" ht="12" customHeight="1">
      <c r="A23" s="8" t="s">
        <v>492</v>
      </c>
      <c r="B23" s="203">
        <v>4000</v>
      </c>
      <c r="C23" s="203">
        <v>2000</v>
      </c>
      <c r="D23" s="203">
        <v>2000</v>
      </c>
      <c r="E23" s="157">
        <f t="shared" si="0"/>
        <v>8000</v>
      </c>
      <c r="F23" s="158">
        <f t="shared" si="1"/>
        <v>0.008564412224124096</v>
      </c>
    </row>
    <row r="24" spans="1:6" ht="12" customHeight="1">
      <c r="A24" s="8" t="s">
        <v>259</v>
      </c>
      <c r="B24" s="203">
        <v>91900</v>
      </c>
      <c r="C24" s="203">
        <v>57500</v>
      </c>
      <c r="D24" s="203">
        <v>37500</v>
      </c>
      <c r="E24" s="157">
        <f t="shared" si="0"/>
        <v>186900</v>
      </c>
      <c r="F24" s="158">
        <f t="shared" si="1"/>
        <v>0.20008608058609917</v>
      </c>
    </row>
    <row r="25" spans="1:6" ht="12" customHeight="1">
      <c r="A25" s="8" t="s">
        <v>224</v>
      </c>
      <c r="B25" s="203">
        <v>20000</v>
      </c>
      <c r="C25" s="203">
        <v>20000</v>
      </c>
      <c r="D25" s="203">
        <v>33000</v>
      </c>
      <c r="E25" s="157">
        <f t="shared" si="0"/>
        <v>73000</v>
      </c>
      <c r="F25" s="158">
        <f t="shared" si="1"/>
        <v>0.07815026154513238</v>
      </c>
    </row>
    <row r="26" spans="1:6" ht="12" customHeight="1">
      <c r="A26" s="8" t="s">
        <v>183</v>
      </c>
      <c r="B26" s="203">
        <v>301600</v>
      </c>
      <c r="C26" s="203">
        <v>31300</v>
      </c>
      <c r="D26" s="203">
        <v>84600</v>
      </c>
      <c r="E26" s="157">
        <f t="shared" si="0"/>
        <v>417500</v>
      </c>
      <c r="F26" s="158">
        <f t="shared" si="1"/>
        <v>0.44695526294647625</v>
      </c>
    </row>
    <row r="27" spans="1:6" ht="12" customHeight="1">
      <c r="A27" s="8" t="s">
        <v>89</v>
      </c>
      <c r="B27" s="203">
        <v>587020</v>
      </c>
      <c r="C27" s="203">
        <v>480205.6</v>
      </c>
      <c r="D27" s="203">
        <v>182900</v>
      </c>
      <c r="E27" s="157">
        <f t="shared" si="0"/>
        <v>1250125.6</v>
      </c>
      <c r="F27" s="158">
        <f t="shared" si="1"/>
        <v>1.3383238712913088</v>
      </c>
    </row>
    <row r="28" spans="1:6" ht="12" customHeight="1">
      <c r="A28" s="8" t="s">
        <v>510</v>
      </c>
      <c r="B28" s="203"/>
      <c r="C28" s="203">
        <v>10000</v>
      </c>
      <c r="D28" s="203"/>
      <c r="E28" s="157">
        <f t="shared" si="0"/>
        <v>10000</v>
      </c>
      <c r="F28" s="158">
        <f t="shared" si="1"/>
        <v>0.01070551528015512</v>
      </c>
    </row>
    <row r="29" spans="1:6" ht="12" customHeight="1">
      <c r="A29" s="8" t="s">
        <v>90</v>
      </c>
      <c r="B29" s="203">
        <v>7000</v>
      </c>
      <c r="C29" s="203">
        <v>5000</v>
      </c>
      <c r="D29" s="203">
        <v>21700</v>
      </c>
      <c r="E29" s="157">
        <f t="shared" si="0"/>
        <v>33700</v>
      </c>
      <c r="F29" s="158">
        <f t="shared" si="1"/>
        <v>0.03607758649412276</v>
      </c>
    </row>
    <row r="30" spans="1:6" ht="12" customHeight="1">
      <c r="A30" s="2" t="s">
        <v>352</v>
      </c>
      <c r="B30" s="203"/>
      <c r="C30" s="203"/>
      <c r="D30" s="203">
        <v>15000</v>
      </c>
      <c r="E30" s="157">
        <f t="shared" si="0"/>
        <v>15000</v>
      </c>
      <c r="F30" s="158">
        <f t="shared" si="1"/>
        <v>0.01605827292023268</v>
      </c>
    </row>
    <row r="31" spans="1:7" ht="12" customHeight="1">
      <c r="A31" s="2" t="s">
        <v>200</v>
      </c>
      <c r="B31" s="203">
        <v>173166.72</v>
      </c>
      <c r="C31" s="203">
        <v>7400</v>
      </c>
      <c r="D31" s="203">
        <v>60000</v>
      </c>
      <c r="E31" s="157">
        <f t="shared" si="0"/>
        <v>240566.72</v>
      </c>
      <c r="F31" s="158">
        <f t="shared" si="1"/>
        <v>0.25753906968567986</v>
      </c>
      <c r="G31" s="10"/>
    </row>
    <row r="32" spans="1:6" ht="12" customHeight="1">
      <c r="A32" s="2" t="s">
        <v>226</v>
      </c>
      <c r="B32" s="203">
        <v>7000</v>
      </c>
      <c r="C32" s="203">
        <v>7000</v>
      </c>
      <c r="D32" s="203">
        <v>7000</v>
      </c>
      <c r="E32" s="157">
        <f t="shared" si="0"/>
        <v>21000</v>
      </c>
      <c r="F32" s="158">
        <f t="shared" si="1"/>
        <v>0.022481582088325753</v>
      </c>
    </row>
    <row r="33" spans="1:6" ht="12" customHeight="1">
      <c r="A33" s="2" t="s">
        <v>227</v>
      </c>
      <c r="B33" s="203">
        <v>59200</v>
      </c>
      <c r="C33" s="203">
        <v>16850</v>
      </c>
      <c r="D33" s="203">
        <v>20000</v>
      </c>
      <c r="E33" s="157">
        <f t="shared" si="0"/>
        <v>96050</v>
      </c>
      <c r="F33" s="158">
        <f t="shared" si="1"/>
        <v>0.10282647426588994</v>
      </c>
    </row>
    <row r="34" spans="1:6" ht="12" customHeight="1">
      <c r="A34" s="2" t="s">
        <v>431</v>
      </c>
      <c r="B34" s="203">
        <v>3000</v>
      </c>
      <c r="C34" s="203">
        <v>3000</v>
      </c>
      <c r="D34" s="203">
        <v>20000</v>
      </c>
      <c r="E34" s="157">
        <f t="shared" si="0"/>
        <v>26000</v>
      </c>
      <c r="F34" s="158">
        <f t="shared" si="1"/>
        <v>0.02783433972840331</v>
      </c>
    </row>
    <row r="35" spans="1:6" ht="12" customHeight="1">
      <c r="A35" s="2" t="s">
        <v>104</v>
      </c>
      <c r="B35" s="203">
        <v>7500</v>
      </c>
      <c r="C35" s="203">
        <v>14283.4</v>
      </c>
      <c r="D35" s="203">
        <f>13410.55</f>
        <v>13410.55</v>
      </c>
      <c r="E35" s="157">
        <f t="shared" si="0"/>
        <v>35193.95</v>
      </c>
      <c r="F35" s="158">
        <f t="shared" si="1"/>
        <v>0.037676936949401524</v>
      </c>
    </row>
    <row r="36" spans="1:6" ht="12" customHeight="1">
      <c r="A36" s="2" t="s">
        <v>218</v>
      </c>
      <c r="B36" s="186"/>
      <c r="C36" s="203">
        <v>115858.79</v>
      </c>
      <c r="D36" s="203"/>
      <c r="E36" s="157">
        <f t="shared" si="0"/>
        <v>115858.79</v>
      </c>
      <c r="F36" s="158">
        <f t="shared" si="1"/>
        <v>0.12403280466852833</v>
      </c>
    </row>
    <row r="37" spans="1:6" ht="12" customHeight="1">
      <c r="A37" s="2" t="s">
        <v>378</v>
      </c>
      <c r="B37" s="186"/>
      <c r="C37" s="203">
        <v>15000</v>
      </c>
      <c r="D37" s="203">
        <v>5000</v>
      </c>
      <c r="E37" s="157">
        <f t="shared" si="0"/>
        <v>20000</v>
      </c>
      <c r="F37" s="158">
        <f t="shared" si="1"/>
        <v>0.02141103056031024</v>
      </c>
    </row>
    <row r="38" spans="1:6" ht="12" customHeight="1">
      <c r="A38" s="2" t="s">
        <v>254</v>
      </c>
      <c r="B38" s="186">
        <v>21500</v>
      </c>
      <c r="C38" s="203">
        <v>7500</v>
      </c>
      <c r="D38" s="203">
        <v>17500</v>
      </c>
      <c r="E38" s="157">
        <f t="shared" si="0"/>
        <v>46500</v>
      </c>
      <c r="F38" s="158">
        <f t="shared" si="1"/>
        <v>0.04978064605272131</v>
      </c>
    </row>
    <row r="39" spans="1:6" ht="12" customHeight="1">
      <c r="A39" s="2" t="s">
        <v>225</v>
      </c>
      <c r="B39" s="203">
        <v>6000</v>
      </c>
      <c r="C39" s="186">
        <v>6000</v>
      </c>
      <c r="D39" s="186">
        <v>6000</v>
      </c>
      <c r="E39" s="157">
        <f t="shared" si="0"/>
        <v>18000</v>
      </c>
      <c r="F39" s="158">
        <f t="shared" si="1"/>
        <v>0.01926992750427922</v>
      </c>
    </row>
    <row r="40" spans="1:6" ht="12" customHeight="1">
      <c r="A40" s="2" t="s">
        <v>228</v>
      </c>
      <c r="B40" s="203">
        <v>148000</v>
      </c>
      <c r="C40" s="203">
        <v>150000</v>
      </c>
      <c r="D40" s="203">
        <v>156298.7</v>
      </c>
      <c r="E40" s="157">
        <f t="shared" si="0"/>
        <v>454298.7</v>
      </c>
      <c r="F40" s="158">
        <f t="shared" si="1"/>
        <v>0.4863501674604608</v>
      </c>
    </row>
    <row r="41" spans="1:6" ht="12" customHeight="1">
      <c r="A41" s="2" t="s">
        <v>367</v>
      </c>
      <c r="B41" s="203"/>
      <c r="C41" s="203">
        <v>17000</v>
      </c>
      <c r="D41" s="203">
        <v>7000</v>
      </c>
      <c r="E41" s="157">
        <f t="shared" si="0"/>
        <v>24000</v>
      </c>
      <c r="F41" s="158">
        <f t="shared" si="1"/>
        <v>0.025693236672372288</v>
      </c>
    </row>
    <row r="42" spans="1:6" ht="12" customHeight="1">
      <c r="A42" s="2" t="s">
        <v>229</v>
      </c>
      <c r="B42" s="203">
        <v>1695092.11</v>
      </c>
      <c r="C42" s="203">
        <v>1372695.93</v>
      </c>
      <c r="D42" s="203">
        <v>2039719.31</v>
      </c>
      <c r="E42" s="157">
        <f t="shared" si="0"/>
        <v>5107507.35</v>
      </c>
      <c r="F42" s="158">
        <f t="shared" si="1"/>
        <v>5.467849797892958</v>
      </c>
    </row>
    <row r="43" spans="1:6" ht="12" customHeight="1">
      <c r="A43" s="2" t="s">
        <v>230</v>
      </c>
      <c r="B43" s="203">
        <v>9775016.5</v>
      </c>
      <c r="C43" s="203">
        <v>8835521.79</v>
      </c>
      <c r="D43" s="203">
        <v>14878998.14</v>
      </c>
      <c r="E43" s="157">
        <f t="shared" si="0"/>
        <v>33489536.43</v>
      </c>
      <c r="F43" s="158">
        <f t="shared" si="1"/>
        <v>35.85227439766766</v>
      </c>
    </row>
    <row r="44" spans="1:6" ht="12" customHeight="1">
      <c r="A44" s="2" t="s">
        <v>171</v>
      </c>
      <c r="B44" s="203"/>
      <c r="D44" s="203">
        <v>9000</v>
      </c>
      <c r="E44" s="157">
        <f t="shared" si="0"/>
        <v>9000</v>
      </c>
      <c r="F44" s="158">
        <f t="shared" si="1"/>
        <v>0.00963496375213961</v>
      </c>
    </row>
    <row r="45" spans="1:6" ht="12" customHeight="1">
      <c r="A45" s="2" t="s">
        <v>231</v>
      </c>
      <c r="B45" s="203">
        <v>10215615.26</v>
      </c>
      <c r="C45" s="203">
        <v>13184767.22</v>
      </c>
      <c r="D45" s="203">
        <v>17913415.62</v>
      </c>
      <c r="E45" s="157">
        <f t="shared" si="0"/>
        <v>41313798.1</v>
      </c>
      <c r="F45" s="158">
        <f t="shared" si="1"/>
        <v>44.22854968407936</v>
      </c>
    </row>
    <row r="46" spans="1:6" ht="12" customHeight="1">
      <c r="A46" s="2" t="s">
        <v>184</v>
      </c>
      <c r="B46" s="203">
        <v>7000</v>
      </c>
      <c r="C46" s="203">
        <v>7000</v>
      </c>
      <c r="D46" s="203">
        <v>7000</v>
      </c>
      <c r="E46" s="157">
        <f t="shared" si="0"/>
        <v>21000</v>
      </c>
      <c r="F46" s="158">
        <f t="shared" si="1"/>
        <v>0.022481582088325753</v>
      </c>
    </row>
    <row r="47" spans="1:6" ht="12" customHeight="1">
      <c r="A47" s="2" t="s">
        <v>185</v>
      </c>
      <c r="B47" s="203">
        <v>7000</v>
      </c>
      <c r="C47" s="185">
        <v>7000</v>
      </c>
      <c r="D47" s="185">
        <v>5000</v>
      </c>
      <c r="E47" s="157">
        <f t="shared" si="0"/>
        <v>19000</v>
      </c>
      <c r="F47" s="158">
        <f t="shared" si="1"/>
        <v>0.02034047903229473</v>
      </c>
    </row>
    <row r="48" spans="1:6" ht="12" customHeight="1">
      <c r="A48" s="2" t="s">
        <v>353</v>
      </c>
      <c r="B48" s="203">
        <v>5000</v>
      </c>
      <c r="C48" s="185">
        <v>5000</v>
      </c>
      <c r="D48" s="185">
        <v>5000</v>
      </c>
      <c r="E48" s="157">
        <f t="shared" si="0"/>
        <v>15000</v>
      </c>
      <c r="F48" s="158">
        <f t="shared" si="1"/>
        <v>0.01605827292023268</v>
      </c>
    </row>
    <row r="49" spans="1:6" ht="12" customHeight="1">
      <c r="A49" s="2" t="s">
        <v>278</v>
      </c>
      <c r="B49" s="203"/>
      <c r="C49" s="185">
        <v>64000</v>
      </c>
      <c r="D49" s="185">
        <v>148066</v>
      </c>
      <c r="E49" s="157">
        <f t="shared" si="0"/>
        <v>212066</v>
      </c>
      <c r="F49" s="158">
        <f t="shared" si="1"/>
        <v>0.2270275803401376</v>
      </c>
    </row>
    <row r="50" spans="1:6" ht="12" customHeight="1">
      <c r="A50" s="2" t="s">
        <v>91</v>
      </c>
      <c r="B50" s="203">
        <v>119312.5</v>
      </c>
      <c r="C50" s="203">
        <v>160143</v>
      </c>
      <c r="D50" s="203">
        <v>155000</v>
      </c>
      <c r="E50" s="157">
        <f t="shared" si="0"/>
        <v>434455.5</v>
      </c>
      <c r="F50" s="158">
        <f t="shared" si="1"/>
        <v>0.4651069993797433</v>
      </c>
    </row>
    <row r="51" spans="1:6" ht="12" customHeight="1">
      <c r="A51" s="2" t="s">
        <v>186</v>
      </c>
      <c r="B51" s="203">
        <v>45000</v>
      </c>
      <c r="C51" s="203">
        <v>13000</v>
      </c>
      <c r="D51" s="203">
        <v>160000</v>
      </c>
      <c r="E51" s="157">
        <f t="shared" si="0"/>
        <v>218000</v>
      </c>
      <c r="F51" s="158">
        <f t="shared" si="1"/>
        <v>0.23338023310738162</v>
      </c>
    </row>
    <row r="52" spans="1:6" ht="12" customHeight="1">
      <c r="A52" s="2" t="s">
        <v>526</v>
      </c>
      <c r="B52" s="203"/>
      <c r="C52" s="203"/>
      <c r="D52" s="203">
        <v>1472</v>
      </c>
      <c r="E52" s="157">
        <f t="shared" si="0"/>
        <v>1472</v>
      </c>
      <c r="F52" s="158">
        <f t="shared" si="1"/>
        <v>0.0015758518492388336</v>
      </c>
    </row>
    <row r="53" spans="1:6" ht="12" customHeight="1">
      <c r="A53" s="2" t="s">
        <v>187</v>
      </c>
      <c r="B53" s="203">
        <v>6000</v>
      </c>
      <c r="C53" s="203">
        <v>10000</v>
      </c>
      <c r="D53" s="203">
        <v>29434.5</v>
      </c>
      <c r="E53" s="157">
        <f t="shared" si="0"/>
        <v>45434.5</v>
      </c>
      <c r="F53" s="158">
        <f t="shared" si="1"/>
        <v>0.048639973399620784</v>
      </c>
    </row>
    <row r="54" spans="1:6" ht="12" customHeight="1">
      <c r="A54" s="2" t="s">
        <v>188</v>
      </c>
      <c r="B54" s="203">
        <v>12000</v>
      </c>
      <c r="C54" s="203">
        <v>15000</v>
      </c>
      <c r="D54" s="203">
        <v>12000</v>
      </c>
      <c r="E54" s="157">
        <f t="shared" si="0"/>
        <v>39000</v>
      </c>
      <c r="F54" s="158">
        <f t="shared" si="1"/>
        <v>0.04175150959260497</v>
      </c>
    </row>
    <row r="55" spans="2:6" ht="9" customHeight="1">
      <c r="B55" s="203"/>
      <c r="C55" s="203"/>
      <c r="D55" s="203"/>
      <c r="E55" s="157"/>
      <c r="F55" s="204"/>
    </row>
    <row r="56" spans="1:6" ht="12" customHeight="1">
      <c r="A56" s="6" t="s">
        <v>276</v>
      </c>
      <c r="B56" s="205">
        <f>SUM(B12:B54)</f>
        <v>23926222.57</v>
      </c>
      <c r="C56" s="205">
        <f>SUM(C12:C54)</f>
        <v>24981075.729999997</v>
      </c>
      <c r="D56" s="205">
        <f>SUM(D12:D54)</f>
        <v>36793080.29000001</v>
      </c>
      <c r="E56" s="205">
        <f>SUM(E12:E54)</f>
        <v>85700378.59</v>
      </c>
      <c r="F56" s="205">
        <f>SUM(F12:F54)</f>
        <v>91.74667125103238</v>
      </c>
    </row>
    <row r="57" spans="5:6" ht="12" customHeight="1">
      <c r="E57" s="245" t="s">
        <v>153</v>
      </c>
      <c r="F57" s="245"/>
    </row>
    <row r="58" spans="5:6" ht="12" customHeight="1">
      <c r="E58" s="251" t="s">
        <v>426</v>
      </c>
      <c r="F58" s="245"/>
    </row>
    <row r="59" spans="1:6" ht="12.75" customHeight="1">
      <c r="A59" s="244" t="s">
        <v>398</v>
      </c>
      <c r="B59" s="244"/>
      <c r="C59" s="244"/>
      <c r="D59" s="244"/>
      <c r="E59" s="244"/>
      <c r="F59" s="244"/>
    </row>
    <row r="60" spans="1:6" ht="13.5" customHeight="1">
      <c r="A60" s="246" t="s">
        <v>557</v>
      </c>
      <c r="B60" s="246"/>
      <c r="C60" s="246"/>
      <c r="D60" s="246"/>
      <c r="E60" s="246"/>
      <c r="F60" s="246"/>
    </row>
    <row r="61" spans="1:6" ht="12" customHeight="1">
      <c r="A61" s="244" t="s">
        <v>409</v>
      </c>
      <c r="B61" s="244"/>
      <c r="C61" s="244"/>
      <c r="D61" s="244"/>
      <c r="E61" s="244"/>
      <c r="F61" s="244"/>
    </row>
    <row r="62" spans="1:6" ht="14.25" customHeight="1">
      <c r="A62" s="244" t="s">
        <v>531</v>
      </c>
      <c r="B62" s="244"/>
      <c r="C62" s="244"/>
      <c r="D62" s="244"/>
      <c r="E62" s="244"/>
      <c r="F62" s="244"/>
    </row>
    <row r="63" spans="1:6" ht="6.75" customHeight="1">
      <c r="A63" s="19"/>
      <c r="B63" s="19"/>
      <c r="C63" s="19"/>
      <c r="D63" s="19"/>
      <c r="E63" s="19"/>
      <c r="F63" s="19"/>
    </row>
    <row r="64" spans="1:6" ht="12" customHeight="1">
      <c r="A64" s="81"/>
      <c r="B64" s="81"/>
      <c r="C64" s="81"/>
      <c r="D64" s="81"/>
      <c r="E64" s="81"/>
      <c r="F64" s="3"/>
    </row>
    <row r="65" spans="1:6" ht="12" customHeight="1">
      <c r="A65" s="106" t="s">
        <v>19</v>
      </c>
      <c r="B65" s="107" t="s">
        <v>483</v>
      </c>
      <c r="C65" s="107" t="s">
        <v>484</v>
      </c>
      <c r="D65" s="107" t="s">
        <v>520</v>
      </c>
      <c r="E65" s="106" t="s">
        <v>20</v>
      </c>
      <c r="F65" s="96" t="s">
        <v>21</v>
      </c>
    </row>
    <row r="66" spans="1:6" ht="12" customHeight="1">
      <c r="A66" s="81"/>
      <c r="B66" s="81"/>
      <c r="C66" s="81"/>
      <c r="D66" s="81"/>
      <c r="E66" s="81"/>
      <c r="F66" s="3"/>
    </row>
    <row r="67" spans="1:6" ht="7.5" customHeight="1">
      <c r="A67" s="19"/>
      <c r="B67" s="203"/>
      <c r="C67" s="203"/>
      <c r="D67" s="203"/>
      <c r="E67" s="151"/>
      <c r="F67" s="206"/>
    </row>
    <row r="68" spans="1:6" ht="12" customHeight="1">
      <c r="A68" s="2" t="s">
        <v>247</v>
      </c>
      <c r="B68" s="203">
        <v>13500</v>
      </c>
      <c r="C68" s="203">
        <v>9000</v>
      </c>
      <c r="D68" s="203">
        <v>6000</v>
      </c>
      <c r="E68" s="157">
        <f aca="true" t="shared" si="2" ref="E68:E93">SUM(B68:D68)</f>
        <v>28500</v>
      </c>
      <c r="F68" s="158">
        <f aca="true" t="shared" si="3" ref="F68:F112">(E68/$E$158*100)</f>
        <v>0.030510718548442093</v>
      </c>
    </row>
    <row r="69" spans="1:6" ht="12" customHeight="1">
      <c r="A69" s="2" t="s">
        <v>92</v>
      </c>
      <c r="B69" s="203">
        <v>7500</v>
      </c>
      <c r="C69" s="203">
        <v>7500</v>
      </c>
      <c r="D69" s="203">
        <v>7500</v>
      </c>
      <c r="E69" s="157">
        <f t="shared" si="2"/>
        <v>22500</v>
      </c>
      <c r="F69" s="158">
        <f t="shared" si="3"/>
        <v>0.02408740938034902</v>
      </c>
    </row>
    <row r="70" spans="1:6" ht="12" customHeight="1">
      <c r="A70" s="2" t="s">
        <v>148</v>
      </c>
      <c r="B70" s="203">
        <v>23000</v>
      </c>
      <c r="C70" s="203">
        <v>27100</v>
      </c>
      <c r="D70" s="203">
        <v>12000</v>
      </c>
      <c r="E70" s="157">
        <f t="shared" si="2"/>
        <v>62100</v>
      </c>
      <c r="F70" s="158">
        <f t="shared" si="3"/>
        <v>0.0664812498897633</v>
      </c>
    </row>
    <row r="71" spans="1:6" ht="12" customHeight="1">
      <c r="A71" s="2" t="s">
        <v>93</v>
      </c>
      <c r="B71" s="203">
        <v>9000</v>
      </c>
      <c r="C71" s="203">
        <v>7000</v>
      </c>
      <c r="D71" s="203">
        <v>10000</v>
      </c>
      <c r="E71" s="157">
        <f t="shared" si="2"/>
        <v>26000</v>
      </c>
      <c r="F71" s="158">
        <f t="shared" si="3"/>
        <v>0.02783433972840331</v>
      </c>
    </row>
    <row r="72" spans="1:6" ht="12" customHeight="1">
      <c r="A72" s="2" t="s">
        <v>189</v>
      </c>
      <c r="B72" s="203">
        <v>15000</v>
      </c>
      <c r="C72" s="203">
        <v>19000</v>
      </c>
      <c r="D72" s="203">
        <v>15000</v>
      </c>
      <c r="E72" s="157">
        <f t="shared" si="2"/>
        <v>49000</v>
      </c>
      <c r="F72" s="158">
        <f t="shared" si="3"/>
        <v>0.05245702487276009</v>
      </c>
    </row>
    <row r="73" spans="1:6" ht="12" customHeight="1">
      <c r="A73" s="2" t="s">
        <v>169</v>
      </c>
      <c r="B73" s="203">
        <v>11537.31</v>
      </c>
      <c r="C73" s="203">
        <v>44301.9</v>
      </c>
      <c r="D73" s="203">
        <v>36000</v>
      </c>
      <c r="E73" s="157">
        <f t="shared" si="2"/>
        <v>91839.20999999999</v>
      </c>
      <c r="F73" s="158">
        <f t="shared" si="3"/>
        <v>0.09831860659723747</v>
      </c>
    </row>
    <row r="74" spans="1:6" ht="12" customHeight="1">
      <c r="A74" s="2" t="s">
        <v>469</v>
      </c>
      <c r="B74" s="203">
        <v>45000</v>
      </c>
      <c r="C74" s="203">
        <v>30000</v>
      </c>
      <c r="D74" s="203">
        <v>20000</v>
      </c>
      <c r="E74" s="157">
        <f t="shared" si="2"/>
        <v>95000</v>
      </c>
      <c r="F74" s="158">
        <f t="shared" si="3"/>
        <v>0.10170239516147364</v>
      </c>
    </row>
    <row r="75" spans="1:6" ht="12" customHeight="1">
      <c r="A75" s="2" t="s">
        <v>161</v>
      </c>
      <c r="B75" s="203">
        <v>10000</v>
      </c>
      <c r="C75" s="203"/>
      <c r="D75" s="203">
        <v>29904</v>
      </c>
      <c r="E75" s="157">
        <f t="shared" si="2"/>
        <v>39904</v>
      </c>
      <c r="F75" s="158">
        <f t="shared" si="3"/>
        <v>0.042719288173930996</v>
      </c>
    </row>
    <row r="76" spans="1:6" ht="12" customHeight="1">
      <c r="A76" s="2" t="s">
        <v>190</v>
      </c>
      <c r="B76" s="203">
        <v>405567</v>
      </c>
      <c r="C76" s="203">
        <v>402483.66</v>
      </c>
      <c r="D76" s="203">
        <v>628572.3</v>
      </c>
      <c r="E76" s="157">
        <f t="shared" si="2"/>
        <v>1436622.96</v>
      </c>
      <c r="F76" s="158">
        <f t="shared" si="3"/>
        <v>1.5379789050101678</v>
      </c>
    </row>
    <row r="77" spans="1:6" ht="12" customHeight="1">
      <c r="A77" s="2" t="s">
        <v>444</v>
      </c>
      <c r="B77" s="203">
        <v>50000</v>
      </c>
      <c r="C77" s="203"/>
      <c r="D77" s="203"/>
      <c r="E77" s="157">
        <f t="shared" si="2"/>
        <v>50000</v>
      </c>
      <c r="F77" s="158">
        <f t="shared" si="3"/>
        <v>0.0535275764007756</v>
      </c>
    </row>
    <row r="78" spans="1:6" ht="12" customHeight="1">
      <c r="A78" s="2" t="s">
        <v>191</v>
      </c>
      <c r="B78" s="203"/>
      <c r="C78" s="203">
        <v>4000</v>
      </c>
      <c r="D78" s="203">
        <v>4000</v>
      </c>
      <c r="E78" s="157">
        <f t="shared" si="2"/>
        <v>8000</v>
      </c>
      <c r="F78" s="158">
        <f t="shared" si="3"/>
        <v>0.008564412224124096</v>
      </c>
    </row>
    <row r="79" spans="1:6" ht="12" customHeight="1">
      <c r="A79" s="2" t="s">
        <v>470</v>
      </c>
      <c r="B79" s="203">
        <v>3000</v>
      </c>
      <c r="C79" s="203">
        <v>3000</v>
      </c>
      <c r="D79" s="203">
        <v>3000</v>
      </c>
      <c r="E79" s="157">
        <f t="shared" si="2"/>
        <v>9000</v>
      </c>
      <c r="F79" s="158">
        <f t="shared" si="3"/>
        <v>0.00963496375213961</v>
      </c>
    </row>
    <row r="80" spans="1:6" ht="12" customHeight="1">
      <c r="A80" s="2" t="s">
        <v>451</v>
      </c>
      <c r="B80" s="203"/>
      <c r="C80" s="203">
        <v>8000</v>
      </c>
      <c r="D80" s="203">
        <v>8000</v>
      </c>
      <c r="E80" s="157">
        <f t="shared" si="2"/>
        <v>16000</v>
      </c>
      <c r="F80" s="158">
        <f t="shared" si="3"/>
        <v>0.017128824448248193</v>
      </c>
    </row>
    <row r="81" spans="1:6" ht="12" customHeight="1">
      <c r="A81" s="2" t="s">
        <v>527</v>
      </c>
      <c r="B81" s="203"/>
      <c r="C81" s="203"/>
      <c r="D81" s="203">
        <v>4000</v>
      </c>
      <c r="E81" s="157">
        <f t="shared" si="2"/>
        <v>4000</v>
      </c>
      <c r="F81" s="158">
        <f t="shared" si="3"/>
        <v>0.004282206112062048</v>
      </c>
    </row>
    <row r="82" spans="1:6" ht="12" customHeight="1">
      <c r="A82" s="2" t="s">
        <v>251</v>
      </c>
      <c r="B82" s="203">
        <v>344753</v>
      </c>
      <c r="C82" s="203">
        <v>155902</v>
      </c>
      <c r="D82" s="203">
        <v>212561.5</v>
      </c>
      <c r="E82" s="157">
        <f t="shared" si="2"/>
        <v>713216.5</v>
      </c>
      <c r="F82" s="158">
        <f t="shared" si="3"/>
        <v>0.7635350138808754</v>
      </c>
    </row>
    <row r="83" spans="1:6" ht="12" customHeight="1">
      <c r="A83" s="2" t="s">
        <v>354</v>
      </c>
      <c r="B83" s="203">
        <v>17000</v>
      </c>
      <c r="C83" s="203">
        <v>15000</v>
      </c>
      <c r="D83" s="203">
        <v>15000</v>
      </c>
      <c r="E83" s="157">
        <f t="shared" si="2"/>
        <v>47000</v>
      </c>
      <c r="F83" s="158">
        <f t="shared" si="3"/>
        <v>0.050315921816729066</v>
      </c>
    </row>
    <row r="84" spans="1:6" ht="12" customHeight="1">
      <c r="A84" s="2" t="s">
        <v>441</v>
      </c>
      <c r="B84" s="203">
        <v>3000</v>
      </c>
      <c r="C84" s="203">
        <v>3000</v>
      </c>
      <c r="D84" s="203">
        <v>3000</v>
      </c>
      <c r="E84" s="157">
        <f t="shared" si="2"/>
        <v>9000</v>
      </c>
      <c r="F84" s="158">
        <f t="shared" si="3"/>
        <v>0.00963496375213961</v>
      </c>
    </row>
    <row r="85" spans="1:6" ht="12" customHeight="1">
      <c r="A85" s="2" t="s">
        <v>452</v>
      </c>
      <c r="B85" s="203">
        <v>6000</v>
      </c>
      <c r="C85" s="203"/>
      <c r="D85" s="203"/>
      <c r="E85" s="157">
        <f t="shared" si="2"/>
        <v>6000</v>
      </c>
      <c r="F85" s="158">
        <f t="shared" si="3"/>
        <v>0.006423309168093072</v>
      </c>
    </row>
    <row r="86" spans="1:6" ht="12" customHeight="1">
      <c r="A86" s="2" t="s">
        <v>503</v>
      </c>
      <c r="B86" s="203">
        <v>19480.78</v>
      </c>
      <c r="C86" s="203"/>
      <c r="D86" s="203"/>
      <c r="E86" s="157">
        <f t="shared" si="2"/>
        <v>19480.78</v>
      </c>
      <c r="F86" s="158">
        <f t="shared" si="3"/>
        <v>0.020855178795934026</v>
      </c>
    </row>
    <row r="87" spans="1:6" ht="12" customHeight="1">
      <c r="A87" s="2" t="s">
        <v>504</v>
      </c>
      <c r="B87" s="203">
        <v>5000</v>
      </c>
      <c r="C87" s="203"/>
      <c r="D87" s="203"/>
      <c r="E87" s="157">
        <f t="shared" si="2"/>
        <v>5000</v>
      </c>
      <c r="F87" s="158">
        <f t="shared" si="3"/>
        <v>0.00535275764007756</v>
      </c>
    </row>
    <row r="88" spans="1:6" ht="12" customHeight="1">
      <c r="A88" s="2" t="s">
        <v>175</v>
      </c>
      <c r="B88" s="203">
        <v>995673.44</v>
      </c>
      <c r="C88" s="203">
        <v>971405.04</v>
      </c>
      <c r="D88" s="203">
        <v>600566.36</v>
      </c>
      <c r="E88" s="157">
        <f t="shared" si="2"/>
        <v>2567644.84</v>
      </c>
      <c r="F88" s="158">
        <f t="shared" si="3"/>
        <v>2.7487961068631446</v>
      </c>
    </row>
    <row r="89" spans="1:6" ht="12" customHeight="1">
      <c r="A89" s="2" t="s">
        <v>355</v>
      </c>
      <c r="B89" s="203">
        <v>15000</v>
      </c>
      <c r="C89" s="203"/>
      <c r="D89" s="203">
        <v>45000</v>
      </c>
      <c r="E89" s="157">
        <f t="shared" si="2"/>
        <v>60000</v>
      </c>
      <c r="F89" s="158">
        <f t="shared" si="3"/>
        <v>0.06423309168093072</v>
      </c>
    </row>
    <row r="90" spans="1:6" ht="12" customHeight="1">
      <c r="A90" s="2" t="s">
        <v>505</v>
      </c>
      <c r="B90" s="203">
        <v>6636.3</v>
      </c>
      <c r="C90" s="203"/>
      <c r="D90" s="203"/>
      <c r="E90" s="157">
        <f t="shared" si="2"/>
        <v>6636.3</v>
      </c>
      <c r="F90" s="158">
        <f t="shared" si="3"/>
        <v>0.007104501105369343</v>
      </c>
    </row>
    <row r="91" spans="1:6" ht="12" customHeight="1">
      <c r="A91" s="2" t="s">
        <v>493</v>
      </c>
      <c r="B91" s="203">
        <v>3967.5</v>
      </c>
      <c r="C91" s="203"/>
      <c r="D91" s="203"/>
      <c r="E91" s="157">
        <f t="shared" si="2"/>
        <v>3967.5</v>
      </c>
      <c r="F91" s="158">
        <f t="shared" si="3"/>
        <v>0.004247413187401544</v>
      </c>
    </row>
    <row r="92" spans="1:6" ht="12" customHeight="1">
      <c r="A92" s="2" t="s">
        <v>454</v>
      </c>
      <c r="B92" s="203"/>
      <c r="C92" s="203"/>
      <c r="D92" s="203">
        <v>39900</v>
      </c>
      <c r="E92" s="157">
        <f t="shared" si="2"/>
        <v>39900</v>
      </c>
      <c r="F92" s="158">
        <f t="shared" si="3"/>
        <v>0.04271500596781893</v>
      </c>
    </row>
    <row r="93" spans="1:6" ht="12" customHeight="1">
      <c r="A93" s="2" t="s">
        <v>511</v>
      </c>
      <c r="B93" s="203"/>
      <c r="C93" s="203">
        <v>46220</v>
      </c>
      <c r="D93" s="203"/>
      <c r="E93" s="157">
        <f t="shared" si="2"/>
        <v>46220</v>
      </c>
      <c r="F93" s="158">
        <f t="shared" si="3"/>
        <v>0.04948089162487697</v>
      </c>
    </row>
    <row r="94" spans="1:6" ht="12" customHeight="1">
      <c r="A94" s="2" t="s">
        <v>105</v>
      </c>
      <c r="B94" s="203">
        <v>7000</v>
      </c>
      <c r="C94" s="203">
        <v>4208.02</v>
      </c>
      <c r="D94" s="203">
        <v>85428.31</v>
      </c>
      <c r="E94" s="157">
        <f aca="true" t="shared" si="4" ref="E94:E112">SUM(B94:D94)</f>
        <v>96636.33</v>
      </c>
      <c r="F94" s="158">
        <f t="shared" si="3"/>
        <v>0.10345417074331127</v>
      </c>
    </row>
    <row r="95" spans="1:6" ht="12" customHeight="1">
      <c r="A95" s="2" t="s">
        <v>95</v>
      </c>
      <c r="B95" s="203">
        <v>2800</v>
      </c>
      <c r="C95" s="203"/>
      <c r="D95" s="203">
        <v>5600</v>
      </c>
      <c r="E95" s="157">
        <f t="shared" si="4"/>
        <v>8400</v>
      </c>
      <c r="F95" s="158">
        <f t="shared" si="3"/>
        <v>0.0089926328353303</v>
      </c>
    </row>
    <row r="96" spans="1:6" ht="12" customHeight="1">
      <c r="A96" s="2" t="s">
        <v>257</v>
      </c>
      <c r="B96" s="203"/>
      <c r="C96" s="203"/>
      <c r="D96" s="203">
        <v>40000</v>
      </c>
      <c r="E96" s="157">
        <f t="shared" si="4"/>
        <v>40000</v>
      </c>
      <c r="F96" s="158">
        <f t="shared" si="3"/>
        <v>0.04282206112062048</v>
      </c>
    </row>
    <row r="97" spans="1:6" ht="12" customHeight="1">
      <c r="A97" s="2" t="s">
        <v>282</v>
      </c>
      <c r="B97" s="203"/>
      <c r="C97" s="203"/>
      <c r="D97" s="203">
        <v>7800</v>
      </c>
      <c r="E97" s="157">
        <f t="shared" si="4"/>
        <v>7800</v>
      </c>
      <c r="F97" s="158">
        <f t="shared" si="3"/>
        <v>0.008350301918520995</v>
      </c>
    </row>
    <row r="98" spans="1:6" ht="12" customHeight="1">
      <c r="A98" s="2" t="s">
        <v>283</v>
      </c>
      <c r="B98" s="203"/>
      <c r="C98" s="203">
        <v>74379</v>
      </c>
      <c r="D98" s="203">
        <v>94569</v>
      </c>
      <c r="E98" s="157">
        <f t="shared" si="4"/>
        <v>168948</v>
      </c>
      <c r="F98" s="158">
        <f t="shared" si="3"/>
        <v>0.1808675395551647</v>
      </c>
    </row>
    <row r="99" spans="1:6" ht="12" customHeight="1">
      <c r="A99" s="2" t="s">
        <v>97</v>
      </c>
      <c r="B99" s="203"/>
      <c r="C99" s="186">
        <v>20146.5</v>
      </c>
      <c r="D99" s="186">
        <v>24031.1</v>
      </c>
      <c r="E99" s="157">
        <f t="shared" si="4"/>
        <v>44177.6</v>
      </c>
      <c r="F99" s="158">
        <f t="shared" si="3"/>
        <v>0.04729439718405808</v>
      </c>
    </row>
    <row r="100" spans="1:6" ht="12" customHeight="1">
      <c r="A100" s="2" t="s">
        <v>284</v>
      </c>
      <c r="B100" s="203">
        <f>7000-2800</f>
        <v>4200</v>
      </c>
      <c r="C100" s="186"/>
      <c r="D100" s="186">
        <v>14000</v>
      </c>
      <c r="E100" s="157">
        <f t="shared" si="4"/>
        <v>18200</v>
      </c>
      <c r="F100" s="158">
        <f t="shared" si="3"/>
        <v>0.01948403780988232</v>
      </c>
    </row>
    <row r="101" spans="1:6" ht="12" customHeight="1">
      <c r="A101" s="2" t="s">
        <v>99</v>
      </c>
      <c r="B101" s="203"/>
      <c r="C101" s="186"/>
      <c r="D101" s="186">
        <v>73200</v>
      </c>
      <c r="E101" s="157">
        <f t="shared" si="4"/>
        <v>73200</v>
      </c>
      <c r="F101" s="158">
        <f t="shared" si="3"/>
        <v>0.07836437185073548</v>
      </c>
    </row>
    <row r="102" spans="1:7" ht="12" customHeight="1">
      <c r="A102" s="2" t="s">
        <v>98</v>
      </c>
      <c r="B102" s="203"/>
      <c r="C102" s="203"/>
      <c r="D102" s="203">
        <v>55000</v>
      </c>
      <c r="E102" s="157">
        <f t="shared" si="4"/>
        <v>55000</v>
      </c>
      <c r="F102" s="158">
        <f t="shared" si="3"/>
        <v>0.05888033404085316</v>
      </c>
      <c r="G102" s="76"/>
    </row>
    <row r="103" spans="1:7" ht="12" customHeight="1">
      <c r="A103" s="2" t="s">
        <v>232</v>
      </c>
      <c r="B103" s="203">
        <v>6987.03</v>
      </c>
      <c r="C103" s="203"/>
      <c r="D103" s="203"/>
      <c r="E103" s="157">
        <f t="shared" si="4"/>
        <v>6987.03</v>
      </c>
      <c r="F103" s="158">
        <f t="shared" si="3"/>
        <v>0.007479975642790222</v>
      </c>
      <c r="G103" s="76"/>
    </row>
    <row r="104" spans="1:7" ht="12" customHeight="1">
      <c r="A104" s="2" t="s">
        <v>170</v>
      </c>
      <c r="B104" s="203"/>
      <c r="C104" s="203">
        <v>75505</v>
      </c>
      <c r="D104" s="203">
        <v>10000</v>
      </c>
      <c r="E104" s="157">
        <f t="shared" si="4"/>
        <v>85505</v>
      </c>
      <c r="F104" s="158">
        <f t="shared" si="3"/>
        <v>0.09153750840296636</v>
      </c>
      <c r="G104" s="76"/>
    </row>
    <row r="105" spans="1:7" ht="12" customHeight="1">
      <c r="A105" s="2" t="s">
        <v>285</v>
      </c>
      <c r="B105" s="203"/>
      <c r="C105" s="203"/>
      <c r="D105" s="203">
        <v>25000</v>
      </c>
      <c r="E105" s="157">
        <f t="shared" si="4"/>
        <v>25000</v>
      </c>
      <c r="F105" s="158">
        <f t="shared" si="3"/>
        <v>0.0267637882003878</v>
      </c>
      <c r="G105" s="76"/>
    </row>
    <row r="106" spans="1:7" ht="12" customHeight="1">
      <c r="A106" s="2" t="s">
        <v>101</v>
      </c>
      <c r="B106" s="203">
        <v>44642.35</v>
      </c>
      <c r="C106" s="203"/>
      <c r="D106" s="203"/>
      <c r="E106" s="157">
        <f t="shared" si="4"/>
        <v>44642.35</v>
      </c>
      <c r="F106" s="158">
        <f t="shared" si="3"/>
        <v>0.04779193600670329</v>
      </c>
      <c r="G106" s="76"/>
    </row>
    <row r="107" spans="1:6" ht="12" customHeight="1">
      <c r="A107" s="2" t="s">
        <v>192</v>
      </c>
      <c r="B107" s="203">
        <v>98071.44</v>
      </c>
      <c r="C107" s="203"/>
      <c r="D107" s="203"/>
      <c r="E107" s="157">
        <f t="shared" si="4"/>
        <v>98071.44</v>
      </c>
      <c r="F107" s="158">
        <f t="shared" si="3"/>
        <v>0.10499052994668162</v>
      </c>
    </row>
    <row r="108" spans="1:6" ht="12" customHeight="1">
      <c r="A108" s="2" t="s">
        <v>102</v>
      </c>
      <c r="B108" s="203">
        <v>200000</v>
      </c>
      <c r="C108" s="203"/>
      <c r="D108" s="203">
        <v>370000</v>
      </c>
      <c r="E108" s="157">
        <f t="shared" si="4"/>
        <v>570000</v>
      </c>
      <c r="F108" s="158">
        <f t="shared" si="3"/>
        <v>0.6102143709688418</v>
      </c>
    </row>
    <row r="109" spans="1:6" ht="12" customHeight="1">
      <c r="A109" s="2" t="s">
        <v>379</v>
      </c>
      <c r="B109" s="203">
        <v>55200</v>
      </c>
      <c r="C109" s="203"/>
      <c r="D109" s="203"/>
      <c r="E109" s="157">
        <f t="shared" si="4"/>
        <v>55200</v>
      </c>
      <c r="F109" s="158">
        <f t="shared" si="3"/>
        <v>0.05909444434645626</v>
      </c>
    </row>
    <row r="110" spans="1:6" ht="12" customHeight="1">
      <c r="A110" s="2" t="s">
        <v>506</v>
      </c>
      <c r="B110" s="203">
        <v>22000</v>
      </c>
      <c r="C110" s="203"/>
      <c r="D110" s="203"/>
      <c r="E110" s="157">
        <f t="shared" si="4"/>
        <v>22000</v>
      </c>
      <c r="F110" s="158">
        <f t="shared" si="3"/>
        <v>0.023552133616341266</v>
      </c>
    </row>
    <row r="111" spans="1:6" ht="12" customHeight="1">
      <c r="A111" s="2" t="s">
        <v>112</v>
      </c>
      <c r="B111" s="203"/>
      <c r="C111" s="203">
        <v>20000</v>
      </c>
      <c r="D111" s="203"/>
      <c r="E111" s="157">
        <f t="shared" si="4"/>
        <v>20000</v>
      </c>
      <c r="F111" s="158">
        <f t="shared" si="3"/>
        <v>0.02141103056031024</v>
      </c>
    </row>
    <row r="112" spans="1:6" ht="12" customHeight="1">
      <c r="A112" s="2" t="s">
        <v>380</v>
      </c>
      <c r="B112" s="203">
        <v>22500</v>
      </c>
      <c r="C112" s="203"/>
      <c r="D112" s="203">
        <v>7000</v>
      </c>
      <c r="E112" s="157">
        <f t="shared" si="4"/>
        <v>29500</v>
      </c>
      <c r="F112" s="158">
        <f t="shared" si="3"/>
        <v>0.031581270076457606</v>
      </c>
    </row>
    <row r="113" spans="2:6" ht="12" customHeight="1">
      <c r="B113" s="203"/>
      <c r="C113" s="203"/>
      <c r="D113" s="203"/>
      <c r="E113" s="157"/>
      <c r="F113" s="158"/>
    </row>
    <row r="114" spans="1:6" ht="12" customHeight="1">
      <c r="A114" s="6" t="s">
        <v>276</v>
      </c>
      <c r="B114" s="205">
        <f>SUM(B68:B113)</f>
        <v>2473016.1500000004</v>
      </c>
      <c r="C114" s="205">
        <f>SUM(C68:C113)</f>
        <v>1947151.12</v>
      </c>
      <c r="D114" s="205">
        <f>SUM(D68:D113)</f>
        <v>2511632.5700000003</v>
      </c>
      <c r="E114" s="205">
        <f>SUM(E68:E113)</f>
        <v>6931799.839999999</v>
      </c>
      <c r="F114" s="205">
        <f>SUM(F68:F113)</f>
        <v>7.420848910609684</v>
      </c>
    </row>
    <row r="115" spans="5:6" ht="12" customHeight="1">
      <c r="E115" s="245" t="s">
        <v>153</v>
      </c>
      <c r="F115" s="245"/>
    </row>
    <row r="116" spans="5:6" ht="12" customHeight="1">
      <c r="E116" s="251" t="s">
        <v>427</v>
      </c>
      <c r="F116" s="245"/>
    </row>
    <row r="117" spans="1:6" ht="13.5" customHeight="1">
      <c r="A117" s="244" t="s">
        <v>398</v>
      </c>
      <c r="B117" s="244"/>
      <c r="C117" s="244"/>
      <c r="D117" s="244"/>
      <c r="E117" s="244"/>
      <c r="F117" s="244"/>
    </row>
    <row r="118" spans="1:6" ht="15" customHeight="1">
      <c r="A118" s="246" t="s">
        <v>557</v>
      </c>
      <c r="B118" s="246"/>
      <c r="C118" s="246"/>
      <c r="D118" s="246"/>
      <c r="E118" s="246"/>
      <c r="F118" s="246"/>
    </row>
    <row r="119" spans="1:6" ht="14.25" customHeight="1">
      <c r="A119" s="244" t="s">
        <v>409</v>
      </c>
      <c r="B119" s="244"/>
      <c r="C119" s="244"/>
      <c r="D119" s="244"/>
      <c r="E119" s="244"/>
      <c r="F119" s="244"/>
    </row>
    <row r="120" spans="1:6" ht="16.5" customHeight="1">
      <c r="A120" s="244" t="s">
        <v>531</v>
      </c>
      <c r="B120" s="244"/>
      <c r="C120" s="244"/>
      <c r="D120" s="244"/>
      <c r="E120" s="244"/>
      <c r="F120" s="244"/>
    </row>
    <row r="121" spans="1:6" ht="7.5" customHeight="1">
      <c r="A121" s="19"/>
      <c r="B121" s="19"/>
      <c r="C121" s="19"/>
      <c r="D121" s="19"/>
      <c r="E121" s="19"/>
      <c r="F121" s="19"/>
    </row>
    <row r="122" spans="1:6" ht="12" customHeight="1">
      <c r="A122" s="81"/>
      <c r="B122" s="81"/>
      <c r="C122" s="81"/>
      <c r="D122" s="81"/>
      <c r="E122" s="81"/>
      <c r="F122" s="3"/>
    </row>
    <row r="123" spans="1:6" ht="12" customHeight="1">
      <c r="A123" s="106" t="s">
        <v>19</v>
      </c>
      <c r="B123" s="107" t="s">
        <v>483</v>
      </c>
      <c r="C123" s="107" t="s">
        <v>484</v>
      </c>
      <c r="D123" s="107" t="s">
        <v>520</v>
      </c>
      <c r="E123" s="106" t="s">
        <v>20</v>
      </c>
      <c r="F123" s="96" t="s">
        <v>21</v>
      </c>
    </row>
    <row r="124" spans="1:6" ht="12" customHeight="1">
      <c r="A124" s="81"/>
      <c r="B124" s="81"/>
      <c r="C124" s="81"/>
      <c r="D124" s="81"/>
      <c r="E124" s="81"/>
      <c r="F124" s="3"/>
    </row>
    <row r="125" spans="2:6" ht="6.75" customHeight="1">
      <c r="B125" s="35"/>
      <c r="C125" s="35"/>
      <c r="D125" s="35"/>
      <c r="E125" s="35"/>
      <c r="F125" s="35"/>
    </row>
    <row r="126" spans="1:6" ht="12" customHeight="1">
      <c r="A126" s="2" t="s">
        <v>349</v>
      </c>
      <c r="B126" s="203"/>
      <c r="C126" s="186">
        <v>15000</v>
      </c>
      <c r="D126" s="186">
        <v>30000</v>
      </c>
      <c r="E126" s="157">
        <f aca="true" t="shared" si="5" ref="E126:E154">SUM(B126:D126)</f>
        <v>45000</v>
      </c>
      <c r="F126" s="158">
        <f aca="true" t="shared" si="6" ref="F126:F154">(E126/$E$158*100)</f>
        <v>0.04817481876069804</v>
      </c>
    </row>
    <row r="127" spans="1:6" ht="12" customHeight="1">
      <c r="A127" s="2" t="s">
        <v>103</v>
      </c>
      <c r="B127" s="203"/>
      <c r="C127" s="186">
        <v>125000</v>
      </c>
      <c r="D127" s="186"/>
      <c r="E127" s="157">
        <f t="shared" si="5"/>
        <v>125000</v>
      </c>
      <c r="F127" s="158">
        <f t="shared" si="6"/>
        <v>0.133818941001939</v>
      </c>
    </row>
    <row r="128" spans="1:6" ht="12" customHeight="1">
      <c r="A128" s="2" t="s">
        <v>106</v>
      </c>
      <c r="B128" s="164"/>
      <c r="C128" s="203">
        <v>13150</v>
      </c>
      <c r="D128" s="203"/>
      <c r="E128" s="157">
        <f t="shared" si="5"/>
        <v>13150</v>
      </c>
      <c r="F128" s="158">
        <f t="shared" si="6"/>
        <v>0.014077752593403983</v>
      </c>
    </row>
    <row r="129" spans="1:6" ht="12" customHeight="1">
      <c r="A129" s="2" t="s">
        <v>471</v>
      </c>
      <c r="B129" s="164"/>
      <c r="C129" s="203"/>
      <c r="D129" s="203">
        <v>3500</v>
      </c>
      <c r="E129" s="157">
        <f t="shared" si="5"/>
        <v>3500</v>
      </c>
      <c r="F129" s="158">
        <f t="shared" si="6"/>
        <v>0.003746930348054292</v>
      </c>
    </row>
    <row r="130" spans="1:6" ht="12" customHeight="1">
      <c r="A130" s="2" t="s">
        <v>242</v>
      </c>
      <c r="B130" s="203">
        <v>25000</v>
      </c>
      <c r="C130" s="203">
        <v>10000</v>
      </c>
      <c r="D130" s="203"/>
      <c r="E130" s="157">
        <f t="shared" si="5"/>
        <v>35000</v>
      </c>
      <c r="F130" s="158">
        <f t="shared" si="6"/>
        <v>0.03746930348054292</v>
      </c>
    </row>
    <row r="131" spans="1:6" ht="12" customHeight="1">
      <c r="A131" s="2" t="s">
        <v>114</v>
      </c>
      <c r="B131" s="203"/>
      <c r="C131" s="203">
        <v>28962.58</v>
      </c>
      <c r="D131" s="203"/>
      <c r="E131" s="157">
        <f t="shared" si="5"/>
        <v>28962.58</v>
      </c>
      <c r="F131" s="158">
        <f t="shared" si="6"/>
        <v>0.031005934274271514</v>
      </c>
    </row>
    <row r="132" spans="1:6" ht="12" customHeight="1">
      <c r="A132" s="2" t="s">
        <v>453</v>
      </c>
      <c r="B132" s="203"/>
      <c r="C132" s="203">
        <v>12000</v>
      </c>
      <c r="D132" s="203"/>
      <c r="E132" s="157">
        <f t="shared" si="5"/>
        <v>12000</v>
      </c>
      <c r="F132" s="158">
        <f t="shared" si="6"/>
        <v>0.012846618336186144</v>
      </c>
    </row>
    <row r="133" spans="1:6" ht="12" customHeight="1">
      <c r="A133" s="2" t="s">
        <v>250</v>
      </c>
      <c r="B133" s="203">
        <v>10000</v>
      </c>
      <c r="C133" s="203"/>
      <c r="D133" s="203"/>
      <c r="E133" s="157">
        <f t="shared" si="5"/>
        <v>10000</v>
      </c>
      <c r="F133" s="158">
        <f t="shared" si="6"/>
        <v>0.01070551528015512</v>
      </c>
    </row>
    <row r="134" spans="1:6" ht="12" customHeight="1">
      <c r="A134" s="2" t="s">
        <v>115</v>
      </c>
      <c r="B134" s="203">
        <v>48000</v>
      </c>
      <c r="C134" s="203"/>
      <c r="D134" s="203"/>
      <c r="E134" s="157">
        <f t="shared" si="5"/>
        <v>48000</v>
      </c>
      <c r="F134" s="158">
        <f t="shared" si="6"/>
        <v>0.051386473344744575</v>
      </c>
    </row>
    <row r="135" spans="1:6" ht="12" customHeight="1">
      <c r="A135" s="2" t="s">
        <v>344</v>
      </c>
      <c r="B135" s="203">
        <v>10000</v>
      </c>
      <c r="C135" s="203"/>
      <c r="D135" s="203">
        <v>25000</v>
      </c>
      <c r="E135" s="157">
        <f t="shared" si="5"/>
        <v>35000</v>
      </c>
      <c r="F135" s="158">
        <f t="shared" si="6"/>
        <v>0.03746930348054292</v>
      </c>
    </row>
    <row r="136" spans="1:6" ht="12" customHeight="1">
      <c r="A136" s="2" t="s">
        <v>117</v>
      </c>
      <c r="B136" s="203">
        <v>2200</v>
      </c>
      <c r="C136" s="203"/>
      <c r="D136" s="203"/>
      <c r="E136" s="157">
        <f t="shared" si="5"/>
        <v>2200</v>
      </c>
      <c r="F136" s="158">
        <f t="shared" si="6"/>
        <v>0.0023552133616341264</v>
      </c>
    </row>
    <row r="137" spans="1:6" ht="12" customHeight="1">
      <c r="A137" s="2" t="s">
        <v>107</v>
      </c>
      <c r="B137" s="203">
        <v>7342</v>
      </c>
      <c r="C137" s="203"/>
      <c r="D137" s="203"/>
      <c r="E137" s="157">
        <f t="shared" si="5"/>
        <v>7342</v>
      </c>
      <c r="F137" s="158">
        <f t="shared" si="6"/>
        <v>0.00785998931868989</v>
      </c>
    </row>
    <row r="138" spans="1:6" ht="12" customHeight="1">
      <c r="A138" s="2" t="s">
        <v>162</v>
      </c>
      <c r="B138" s="203"/>
      <c r="C138" s="203">
        <v>9000</v>
      </c>
      <c r="D138" s="203"/>
      <c r="E138" s="157">
        <f t="shared" si="5"/>
        <v>9000</v>
      </c>
      <c r="F138" s="158">
        <f t="shared" si="6"/>
        <v>0.00963496375213961</v>
      </c>
    </row>
    <row r="139" spans="1:6" ht="12" customHeight="1">
      <c r="A139" s="2" t="s">
        <v>172</v>
      </c>
      <c r="B139" s="203"/>
      <c r="C139" s="203"/>
      <c r="D139" s="203">
        <v>3165</v>
      </c>
      <c r="E139" s="157">
        <f t="shared" si="5"/>
        <v>3165</v>
      </c>
      <c r="F139" s="158">
        <f t="shared" si="6"/>
        <v>0.003388295586169096</v>
      </c>
    </row>
    <row r="140" spans="1:6" ht="12" customHeight="1">
      <c r="A140" s="2" t="s">
        <v>279</v>
      </c>
      <c r="B140" s="203">
        <v>10000</v>
      </c>
      <c r="C140" s="203"/>
      <c r="D140" s="203"/>
      <c r="E140" s="157">
        <f t="shared" si="5"/>
        <v>10000</v>
      </c>
      <c r="F140" s="158">
        <f t="shared" si="6"/>
        <v>0.01070551528015512</v>
      </c>
    </row>
    <row r="141" spans="1:6" ht="12" customHeight="1">
      <c r="A141" s="2" t="s">
        <v>122</v>
      </c>
      <c r="B141" s="203">
        <v>25000</v>
      </c>
      <c r="C141" s="203"/>
      <c r="D141" s="203">
        <v>6000</v>
      </c>
      <c r="E141" s="157">
        <f t="shared" si="5"/>
        <v>31000</v>
      </c>
      <c r="F141" s="158">
        <f t="shared" si="6"/>
        <v>0.03318709736848087</v>
      </c>
    </row>
    <row r="142" spans="1:6" ht="12" customHeight="1">
      <c r="A142" s="2" t="s">
        <v>512</v>
      </c>
      <c r="B142" s="203"/>
      <c r="C142" s="203">
        <v>10000</v>
      </c>
      <c r="D142" s="203">
        <v>6125</v>
      </c>
      <c r="E142" s="157">
        <f t="shared" si="5"/>
        <v>16125</v>
      </c>
      <c r="F142" s="158">
        <f t="shared" si="6"/>
        <v>0.017262643389250133</v>
      </c>
    </row>
    <row r="143" spans="1:6" ht="12" customHeight="1">
      <c r="A143" s="2" t="s">
        <v>167</v>
      </c>
      <c r="B143" s="203"/>
      <c r="C143" s="203">
        <v>72000</v>
      </c>
      <c r="D143" s="203"/>
      <c r="E143" s="157">
        <f t="shared" si="5"/>
        <v>72000</v>
      </c>
      <c r="F143" s="158">
        <f t="shared" si="6"/>
        <v>0.07707971001711687</v>
      </c>
    </row>
    <row r="144" spans="1:6" ht="12" customHeight="1">
      <c r="A144" s="2" t="s">
        <v>124</v>
      </c>
      <c r="B144" s="203"/>
      <c r="C144" s="203"/>
      <c r="D144" s="203">
        <v>43534.8</v>
      </c>
      <c r="E144" s="157">
        <f t="shared" si="5"/>
        <v>43534.8</v>
      </c>
      <c r="F144" s="158">
        <f t="shared" si="6"/>
        <v>0.04660624666184972</v>
      </c>
    </row>
    <row r="145" spans="1:6" ht="12" customHeight="1">
      <c r="A145" s="2" t="s">
        <v>460</v>
      </c>
      <c r="B145" s="203"/>
      <c r="C145" s="203">
        <v>7500</v>
      </c>
      <c r="D145" s="203"/>
      <c r="E145" s="157">
        <f t="shared" si="5"/>
        <v>7500</v>
      </c>
      <c r="F145" s="158">
        <f t="shared" si="6"/>
        <v>0.00802913646011634</v>
      </c>
    </row>
    <row r="146" spans="1:6" ht="12" customHeight="1">
      <c r="A146" s="2" t="s">
        <v>255</v>
      </c>
      <c r="B146" s="203"/>
      <c r="C146" s="203">
        <v>29750</v>
      </c>
      <c r="D146" s="203">
        <v>10117.34</v>
      </c>
      <c r="E146" s="157">
        <f t="shared" si="5"/>
        <v>39867.34</v>
      </c>
      <c r="F146" s="158">
        <f t="shared" si="6"/>
        <v>0.04268004175491394</v>
      </c>
    </row>
    <row r="147" spans="1:6" ht="12" customHeight="1">
      <c r="A147" s="2" t="s">
        <v>194</v>
      </c>
      <c r="B147" s="203">
        <v>8250</v>
      </c>
      <c r="C147" s="203"/>
      <c r="D147" s="203">
        <v>10000</v>
      </c>
      <c r="E147" s="157">
        <f t="shared" si="5"/>
        <v>18250</v>
      </c>
      <c r="F147" s="158">
        <f t="shared" si="6"/>
        <v>0.019537565386283096</v>
      </c>
    </row>
    <row r="148" spans="1:6" ht="12" customHeight="1">
      <c r="A148" s="2" t="s">
        <v>288</v>
      </c>
      <c r="B148" s="203">
        <v>30000</v>
      </c>
      <c r="C148" s="203"/>
      <c r="D148" s="203"/>
      <c r="E148" s="157">
        <f t="shared" si="5"/>
        <v>30000</v>
      </c>
      <c r="F148" s="158">
        <f t="shared" si="6"/>
        <v>0.03211654584046536</v>
      </c>
    </row>
    <row r="149" spans="1:6" ht="12" customHeight="1">
      <c r="A149" s="2" t="s">
        <v>233</v>
      </c>
      <c r="B149" s="203">
        <v>8001</v>
      </c>
      <c r="C149" s="203"/>
      <c r="D149" s="203"/>
      <c r="E149" s="157">
        <f t="shared" si="5"/>
        <v>8001</v>
      </c>
      <c r="F149" s="158">
        <f t="shared" si="6"/>
        <v>0.008565482775652111</v>
      </c>
    </row>
    <row r="150" spans="1:7" ht="12" customHeight="1">
      <c r="A150" s="2" t="s">
        <v>445</v>
      </c>
      <c r="B150" s="203">
        <v>13820</v>
      </c>
      <c r="C150" s="203"/>
      <c r="D150" s="203"/>
      <c r="E150" s="157">
        <f t="shared" si="5"/>
        <v>13820</v>
      </c>
      <c r="F150" s="158">
        <f t="shared" si="6"/>
        <v>0.014795022117174376</v>
      </c>
      <c r="G150" s="76"/>
    </row>
    <row r="151" spans="1:7" ht="12" customHeight="1">
      <c r="A151" s="2" t="s">
        <v>125</v>
      </c>
      <c r="B151" s="203"/>
      <c r="C151" s="203">
        <v>10000</v>
      </c>
      <c r="D151" s="203"/>
      <c r="E151" s="157">
        <f t="shared" si="5"/>
        <v>10000</v>
      </c>
      <c r="F151" s="158">
        <f t="shared" si="6"/>
        <v>0.01070551528015512</v>
      </c>
      <c r="G151" s="76"/>
    </row>
    <row r="152" spans="1:7" ht="12" customHeight="1">
      <c r="A152" s="2" t="s">
        <v>249</v>
      </c>
      <c r="B152" s="203"/>
      <c r="C152" s="203"/>
      <c r="D152" s="203">
        <v>2000</v>
      </c>
      <c r="E152" s="157">
        <f t="shared" si="5"/>
        <v>2000</v>
      </c>
      <c r="F152" s="158">
        <f t="shared" si="6"/>
        <v>0.002141103056031024</v>
      </c>
      <c r="G152" s="76"/>
    </row>
    <row r="153" spans="1:7" ht="12" customHeight="1">
      <c r="A153" s="2" t="s">
        <v>415</v>
      </c>
      <c r="B153" s="203"/>
      <c r="C153" s="203">
        <v>43200</v>
      </c>
      <c r="D153" s="203"/>
      <c r="E153" s="157">
        <f t="shared" si="5"/>
        <v>43200</v>
      </c>
      <c r="F153" s="158">
        <f t="shared" si="6"/>
        <v>0.046247826010270124</v>
      </c>
      <c r="G153" s="76"/>
    </row>
    <row r="154" spans="1:6" ht="12" customHeight="1">
      <c r="A154" s="2" t="s">
        <v>368</v>
      </c>
      <c r="B154" s="203"/>
      <c r="C154" s="203"/>
      <c r="D154" s="203">
        <v>55000</v>
      </c>
      <c r="E154" s="157">
        <f t="shared" si="5"/>
        <v>55000</v>
      </c>
      <c r="F154" s="158">
        <f t="shared" si="6"/>
        <v>0.05888033404085316</v>
      </c>
    </row>
    <row r="155" spans="2:6" ht="12" customHeight="1">
      <c r="B155" s="115"/>
      <c r="C155" s="115"/>
      <c r="D155" s="115"/>
      <c r="E155" s="115"/>
      <c r="F155" s="115"/>
    </row>
    <row r="156" spans="1:6" ht="12.75">
      <c r="A156" s="6" t="s">
        <v>276</v>
      </c>
      <c r="B156" s="205">
        <f>SUM(B126:B155)</f>
        <v>197613</v>
      </c>
      <c r="C156" s="205">
        <f>SUM(C126:C155)</f>
        <v>385562.58</v>
      </c>
      <c r="D156" s="205">
        <f>SUM(D126:D155)</f>
        <v>194442.14</v>
      </c>
      <c r="E156" s="205">
        <f>SUM(E126:E155)</f>
        <v>777617.72</v>
      </c>
      <c r="F156" s="205">
        <f>SUM(F126:F155)</f>
        <v>0.8324798383579387</v>
      </c>
    </row>
    <row r="157" spans="2:6" ht="12.75">
      <c r="B157" s="207"/>
      <c r="C157" s="207"/>
      <c r="D157" s="207"/>
      <c r="E157" s="162"/>
      <c r="F157" s="208"/>
    </row>
    <row r="158" spans="1:6" ht="13.5" thickBot="1">
      <c r="A158" s="6" t="s">
        <v>127</v>
      </c>
      <c r="B158" s="165">
        <f>B56+B114+B156</f>
        <v>26596851.72</v>
      </c>
      <c r="C158" s="165">
        <f>C56+C114+C156</f>
        <v>27313789.429999996</v>
      </c>
      <c r="D158" s="165">
        <f>D56+D114+D156</f>
        <v>39499155.00000001</v>
      </c>
      <c r="E158" s="165">
        <f>E56+E114+E156</f>
        <v>93409796.15</v>
      </c>
      <c r="F158" s="165">
        <f>F56+F114+F156</f>
        <v>100</v>
      </c>
    </row>
    <row r="159" spans="2:6" ht="13.5" thickTop="1">
      <c r="B159" s="115"/>
      <c r="C159" s="115"/>
      <c r="D159" s="115"/>
      <c r="E159" s="115"/>
      <c r="F159" s="115"/>
    </row>
    <row r="160" spans="2:6" ht="12.75">
      <c r="B160" s="209"/>
      <c r="C160" s="209"/>
      <c r="D160" s="209"/>
      <c r="E160" s="115"/>
      <c r="F160" s="115"/>
    </row>
    <row r="161" spans="1:6" ht="12.75">
      <c r="A161" s="78"/>
      <c r="B161" s="115"/>
      <c r="C161" s="209"/>
      <c r="D161" s="209"/>
      <c r="E161" s="115"/>
      <c r="F161" s="115"/>
    </row>
    <row r="162" spans="2:4" ht="12.75">
      <c r="B162" s="36"/>
      <c r="C162" s="36"/>
      <c r="D162" s="36"/>
    </row>
    <row r="163" spans="2:4" ht="12.75">
      <c r="B163" s="36"/>
      <c r="C163" s="36"/>
      <c r="D163" s="36"/>
    </row>
    <row r="164" ht="12.75">
      <c r="B164" s="36"/>
    </row>
    <row r="165" ht="12.75">
      <c r="B165" s="36"/>
    </row>
    <row r="166" spans="2:4" ht="12.75">
      <c r="B166" s="77"/>
      <c r="C166" s="77"/>
      <c r="D166" s="77"/>
    </row>
    <row r="167" spans="1:4" ht="12.75">
      <c r="A167" s="44"/>
      <c r="B167" s="36"/>
      <c r="C167" s="36"/>
      <c r="D167" s="36"/>
    </row>
  </sheetData>
  <sheetProtection password="8451" sheet="1" objects="1" scenarios="1"/>
  <mergeCells count="18">
    <mergeCell ref="A119:F119"/>
    <mergeCell ref="A120:F120"/>
    <mergeCell ref="A62:F62"/>
    <mergeCell ref="E115:F115"/>
    <mergeCell ref="A117:F117"/>
    <mergeCell ref="A118:F118"/>
    <mergeCell ref="E116:F116"/>
    <mergeCell ref="E57:F57"/>
    <mergeCell ref="A59:F59"/>
    <mergeCell ref="A60:F60"/>
    <mergeCell ref="A61:F61"/>
    <mergeCell ref="E58:F58"/>
    <mergeCell ref="A6:F6"/>
    <mergeCell ref="E1:F1"/>
    <mergeCell ref="A3:F3"/>
    <mergeCell ref="A4:F4"/>
    <mergeCell ref="A5:F5"/>
    <mergeCell ref="E2:F2"/>
  </mergeCells>
  <printOptions/>
  <pageMargins left="0.96" right="0.35" top="0.58" bottom="0.7874015748031497" header="0" footer="0"/>
  <pageSetup horizontalDpi="600" verticalDpi="600" orientation="portrait" scale="90" r:id="rId1"/>
  <rowBreaks count="2" manualBreakCount="2">
    <brk id="56" max="5" man="1"/>
    <brk id="11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B25">
      <selection activeCell="I57" activeCellId="1" sqref="I43 I57"/>
    </sheetView>
  </sheetViews>
  <sheetFormatPr defaultColWidth="9.140625" defaultRowHeight="12.75"/>
  <cols>
    <col min="1" max="1" width="44.8515625" style="2" customWidth="1"/>
    <col min="2" max="2" width="10.7109375" style="25" bestFit="1" customWidth="1"/>
    <col min="3" max="3" width="9.140625" style="25" bestFit="1" customWidth="1"/>
    <col min="4" max="4" width="9.140625" style="25" customWidth="1"/>
    <col min="5" max="5" width="9.7109375" style="25" customWidth="1"/>
    <col min="6" max="6" width="6.57421875" style="2" bestFit="1" customWidth="1"/>
    <col min="7" max="16384" width="11.421875" style="2" customWidth="1"/>
  </cols>
  <sheetData>
    <row r="1" spans="5:6" ht="12" customHeight="1">
      <c r="E1" s="245" t="s">
        <v>154</v>
      </c>
      <c r="F1" s="245"/>
    </row>
    <row r="2" spans="5:6" ht="12" customHeight="1">
      <c r="E2" s="252" t="s">
        <v>428</v>
      </c>
      <c r="F2" s="245"/>
    </row>
    <row r="3" spans="1:6" ht="13.5" customHeight="1">
      <c r="A3" s="244" t="s">
        <v>398</v>
      </c>
      <c r="B3" s="244"/>
      <c r="C3" s="244"/>
      <c r="D3" s="244"/>
      <c r="E3" s="244"/>
      <c r="F3" s="244"/>
    </row>
    <row r="4" spans="1:6" ht="13.5" customHeight="1">
      <c r="A4" s="246" t="s">
        <v>557</v>
      </c>
      <c r="B4" s="246"/>
      <c r="C4" s="246"/>
      <c r="D4" s="246"/>
      <c r="E4" s="246"/>
      <c r="F4" s="246"/>
    </row>
    <row r="5" spans="1:6" ht="13.5" customHeight="1">
      <c r="A5" s="244" t="s">
        <v>410</v>
      </c>
      <c r="B5" s="244"/>
      <c r="C5" s="244"/>
      <c r="D5" s="244"/>
      <c r="E5" s="244"/>
      <c r="F5" s="244"/>
    </row>
    <row r="6" spans="1:7" ht="13.5" customHeight="1">
      <c r="A6" s="244" t="s">
        <v>531</v>
      </c>
      <c r="B6" s="244"/>
      <c r="C6" s="244"/>
      <c r="D6" s="244"/>
      <c r="E6" s="244"/>
      <c r="F6" s="244"/>
      <c r="G6" s="41"/>
    </row>
    <row r="7" spans="1:7" ht="13.5" customHeight="1">
      <c r="A7" s="103"/>
      <c r="B7" s="103"/>
      <c r="C7" s="103"/>
      <c r="D7" s="103"/>
      <c r="E7" s="103"/>
      <c r="F7" s="103"/>
      <c r="G7" s="41"/>
    </row>
    <row r="8" spans="1:7" ht="13.5" customHeight="1">
      <c r="A8" s="103"/>
      <c r="B8" s="103"/>
      <c r="C8" s="103"/>
      <c r="D8" s="103"/>
      <c r="E8" s="103"/>
      <c r="F8" s="103"/>
      <c r="G8" s="41"/>
    </row>
    <row r="9" spans="1:6" ht="10.5" customHeight="1">
      <c r="A9" s="19"/>
      <c r="B9" s="19"/>
      <c r="C9" s="19"/>
      <c r="D9" s="19"/>
      <c r="E9" s="19"/>
      <c r="F9" s="19"/>
    </row>
    <row r="10" spans="1:6" ht="12" customHeight="1">
      <c r="A10" s="81"/>
      <c r="B10" s="81"/>
      <c r="C10" s="81"/>
      <c r="D10" s="81"/>
      <c r="E10" s="81"/>
      <c r="F10" s="3"/>
    </row>
    <row r="11" spans="1:6" ht="12" customHeight="1">
      <c r="A11" s="106" t="s">
        <v>19</v>
      </c>
      <c r="B11" s="107" t="s">
        <v>483</v>
      </c>
      <c r="C11" s="107" t="s">
        <v>484</v>
      </c>
      <c r="D11" s="107" t="s">
        <v>520</v>
      </c>
      <c r="E11" s="106" t="s">
        <v>20</v>
      </c>
      <c r="F11" s="96" t="s">
        <v>21</v>
      </c>
    </row>
    <row r="12" spans="1:6" ht="12" customHeight="1">
      <c r="A12" s="81"/>
      <c r="B12" s="81"/>
      <c r="C12" s="81"/>
      <c r="D12" s="81"/>
      <c r="E12" s="81"/>
      <c r="F12" s="3"/>
    </row>
    <row r="13" spans="1:6" ht="6" customHeight="1">
      <c r="A13" s="3"/>
      <c r="B13" s="26"/>
      <c r="C13" s="26"/>
      <c r="D13" s="26"/>
      <c r="E13" s="26"/>
      <c r="F13" s="3"/>
    </row>
    <row r="14" spans="1:7" ht="12" customHeight="1">
      <c r="A14" s="2" t="s">
        <v>417</v>
      </c>
      <c r="B14" s="164"/>
      <c r="C14" s="164">
        <v>5403.17</v>
      </c>
      <c r="D14" s="164"/>
      <c r="E14" s="164">
        <f aca="true" t="shared" si="0" ref="E14:E33">SUM(B14:D14)</f>
        <v>5403.17</v>
      </c>
      <c r="F14" s="169">
        <f aca="true" t="shared" si="1" ref="F14:F49">(E14/$E$51*100)</f>
        <v>1.1387598799802132</v>
      </c>
      <c r="G14" s="115"/>
    </row>
    <row r="15" spans="1:7" ht="12" customHeight="1">
      <c r="A15" s="2" t="s">
        <v>216</v>
      </c>
      <c r="B15" s="164">
        <v>1700</v>
      </c>
      <c r="C15" s="164">
        <v>650</v>
      </c>
      <c r="D15" s="164">
        <v>6100</v>
      </c>
      <c r="E15" s="164">
        <f t="shared" si="0"/>
        <v>8450</v>
      </c>
      <c r="F15" s="169">
        <f t="shared" si="1"/>
        <v>1.7809028747629265</v>
      </c>
      <c r="G15" s="115"/>
    </row>
    <row r="16" spans="1:7" ht="12" customHeight="1">
      <c r="A16" s="2" t="s">
        <v>446</v>
      </c>
      <c r="B16" s="164">
        <v>1200</v>
      </c>
      <c r="C16" s="164">
        <v>2300</v>
      </c>
      <c r="D16" s="164">
        <v>1550</v>
      </c>
      <c r="E16" s="164">
        <f t="shared" si="0"/>
        <v>5050</v>
      </c>
      <c r="F16" s="169">
        <f t="shared" si="1"/>
        <v>1.0643265701245892</v>
      </c>
      <c r="G16" s="115"/>
    </row>
    <row r="17" spans="1:7" ht="12" customHeight="1">
      <c r="A17" s="2" t="s">
        <v>86</v>
      </c>
      <c r="B17" s="164">
        <v>2000</v>
      </c>
      <c r="C17" s="164"/>
      <c r="D17" s="164">
        <v>13900</v>
      </c>
      <c r="E17" s="164">
        <f t="shared" si="0"/>
        <v>15900</v>
      </c>
      <c r="F17" s="169">
        <f t="shared" si="1"/>
        <v>3.351048012867518</v>
      </c>
      <c r="G17" s="115"/>
    </row>
    <row r="18" spans="1:7" ht="12" customHeight="1">
      <c r="A18" s="8" t="s">
        <v>87</v>
      </c>
      <c r="B18" s="210"/>
      <c r="C18" s="210">
        <v>2200</v>
      </c>
      <c r="D18" s="210">
        <v>7250</v>
      </c>
      <c r="E18" s="164">
        <f t="shared" si="0"/>
        <v>9450</v>
      </c>
      <c r="F18" s="169">
        <f t="shared" si="1"/>
        <v>1.9916606114212612</v>
      </c>
      <c r="G18" s="115"/>
    </row>
    <row r="19" spans="1:7" ht="12" customHeight="1">
      <c r="A19" s="8" t="s">
        <v>88</v>
      </c>
      <c r="B19" s="210"/>
      <c r="C19" s="210">
        <v>450</v>
      </c>
      <c r="D19" s="210">
        <v>5700</v>
      </c>
      <c r="E19" s="164">
        <f t="shared" si="0"/>
        <v>6150</v>
      </c>
      <c r="F19" s="169">
        <f t="shared" si="1"/>
        <v>1.2961600804487572</v>
      </c>
      <c r="G19" s="115"/>
    </row>
    <row r="20" spans="1:7" ht="12" customHeight="1">
      <c r="A20" s="8" t="s">
        <v>492</v>
      </c>
      <c r="B20" s="210"/>
      <c r="C20" s="210">
        <v>3000</v>
      </c>
      <c r="D20" s="210">
        <v>3000</v>
      </c>
      <c r="E20" s="164">
        <f t="shared" si="0"/>
        <v>6000</v>
      </c>
      <c r="F20" s="169">
        <f t="shared" si="1"/>
        <v>1.264546419950007</v>
      </c>
      <c r="G20" s="115"/>
    </row>
    <row r="21" spans="1:7" ht="12" customHeight="1">
      <c r="A21" s="8" t="s">
        <v>183</v>
      </c>
      <c r="B21" s="210"/>
      <c r="C21" s="210">
        <v>10000</v>
      </c>
      <c r="D21" s="210">
        <v>40600</v>
      </c>
      <c r="E21" s="164">
        <f t="shared" si="0"/>
        <v>50600</v>
      </c>
      <c r="F21" s="169">
        <f t="shared" si="1"/>
        <v>10.664341474911726</v>
      </c>
      <c r="G21" s="210"/>
    </row>
    <row r="22" spans="1:7" ht="12" customHeight="1">
      <c r="A22" s="8" t="s">
        <v>89</v>
      </c>
      <c r="B22" s="210">
        <v>14050</v>
      </c>
      <c r="C22" s="186"/>
      <c r="D22" s="186">
        <v>10500</v>
      </c>
      <c r="E22" s="164">
        <f t="shared" si="0"/>
        <v>24550</v>
      </c>
      <c r="F22" s="169">
        <f t="shared" si="1"/>
        <v>5.174102434962112</v>
      </c>
      <c r="G22" s="210"/>
    </row>
    <row r="23" spans="1:7" ht="12" customHeight="1">
      <c r="A23" s="8" t="s">
        <v>217</v>
      </c>
      <c r="B23" s="210"/>
      <c r="C23" s="186">
        <v>12000</v>
      </c>
      <c r="D23" s="186">
        <v>5100</v>
      </c>
      <c r="E23" s="164">
        <f t="shared" si="0"/>
        <v>17100</v>
      </c>
      <c r="F23" s="169">
        <f t="shared" si="1"/>
        <v>3.6039572968575198</v>
      </c>
      <c r="G23" s="210"/>
    </row>
    <row r="24" spans="1:7" ht="12" customHeight="1">
      <c r="A24" s="2" t="s">
        <v>226</v>
      </c>
      <c r="B24" s="210"/>
      <c r="C24" s="186"/>
      <c r="D24" s="186">
        <v>5000</v>
      </c>
      <c r="E24" s="164">
        <f t="shared" si="0"/>
        <v>5000</v>
      </c>
      <c r="F24" s="169">
        <f t="shared" si="1"/>
        <v>1.0537886832916725</v>
      </c>
      <c r="G24" s="210"/>
    </row>
    <row r="25" spans="1:7" ht="12" customHeight="1">
      <c r="A25" s="2" t="s">
        <v>280</v>
      </c>
      <c r="B25" s="210">
        <v>19150</v>
      </c>
      <c r="C25" s="210">
        <v>1600</v>
      </c>
      <c r="D25" s="210">
        <v>13900</v>
      </c>
      <c r="E25" s="164">
        <f t="shared" si="0"/>
        <v>34650</v>
      </c>
      <c r="F25" s="169">
        <f t="shared" si="1"/>
        <v>7.3027555752112905</v>
      </c>
      <c r="G25" s="115"/>
    </row>
    <row r="26" spans="1:7" ht="12" customHeight="1">
      <c r="A26" s="2" t="s">
        <v>378</v>
      </c>
      <c r="B26" s="210"/>
      <c r="C26" s="210"/>
      <c r="D26" s="210">
        <v>2200</v>
      </c>
      <c r="E26" s="164">
        <f t="shared" si="0"/>
        <v>2200</v>
      </c>
      <c r="F26" s="169">
        <f t="shared" si="1"/>
        <v>0.46366702064833587</v>
      </c>
      <c r="G26" s="115"/>
    </row>
    <row r="27" spans="1:7" ht="12" customHeight="1">
      <c r="A27" s="2" t="s">
        <v>367</v>
      </c>
      <c r="B27" s="210">
        <v>5000</v>
      </c>
      <c r="C27" s="210"/>
      <c r="D27" s="210">
        <v>2200</v>
      </c>
      <c r="E27" s="164">
        <f t="shared" si="0"/>
        <v>7200</v>
      </c>
      <c r="F27" s="169">
        <f t="shared" si="1"/>
        <v>1.5174557039400083</v>
      </c>
      <c r="G27" s="115"/>
    </row>
    <row r="28" spans="1:7" ht="12" customHeight="1">
      <c r="A28" s="2" t="s">
        <v>228</v>
      </c>
      <c r="B28" s="210">
        <v>3400</v>
      </c>
      <c r="C28" s="210">
        <v>1500</v>
      </c>
      <c r="D28" s="210"/>
      <c r="E28" s="164">
        <f t="shared" si="0"/>
        <v>4900</v>
      </c>
      <c r="F28" s="169">
        <f t="shared" si="1"/>
        <v>1.0327129096258392</v>
      </c>
      <c r="G28" s="115"/>
    </row>
    <row r="29" spans="1:7" ht="12" customHeight="1">
      <c r="A29" s="2" t="s">
        <v>171</v>
      </c>
      <c r="B29" s="210"/>
      <c r="C29" s="210"/>
      <c r="D29" s="210">
        <v>5750</v>
      </c>
      <c r="E29" s="164">
        <f t="shared" si="0"/>
        <v>5750</v>
      </c>
      <c r="F29" s="169">
        <f t="shared" si="1"/>
        <v>1.2118569857854236</v>
      </c>
      <c r="G29" s="115"/>
    </row>
    <row r="30" spans="1:7" ht="12" customHeight="1">
      <c r="A30" s="2" t="s">
        <v>184</v>
      </c>
      <c r="B30" s="210">
        <v>2100</v>
      </c>
      <c r="C30" s="210">
        <v>2200</v>
      </c>
      <c r="D30" s="210"/>
      <c r="E30" s="164">
        <f t="shared" si="0"/>
        <v>4300</v>
      </c>
      <c r="F30" s="169">
        <f t="shared" si="1"/>
        <v>0.9062582676308384</v>
      </c>
      <c r="G30" s="115"/>
    </row>
    <row r="31" spans="1:7" ht="12" customHeight="1">
      <c r="A31" s="2" t="s">
        <v>185</v>
      </c>
      <c r="B31" s="210"/>
      <c r="C31" s="210"/>
      <c r="D31" s="210">
        <v>6500</v>
      </c>
      <c r="E31" s="164">
        <f t="shared" si="0"/>
        <v>6500</v>
      </c>
      <c r="F31" s="169">
        <f t="shared" si="1"/>
        <v>1.3699252882791744</v>
      </c>
      <c r="G31" s="115"/>
    </row>
    <row r="32" spans="1:7" ht="12" customHeight="1">
      <c r="A32" s="2" t="s">
        <v>91</v>
      </c>
      <c r="B32" s="210">
        <v>2200</v>
      </c>
      <c r="C32" s="210"/>
      <c r="D32" s="210"/>
      <c r="E32" s="164">
        <f t="shared" si="0"/>
        <v>2200</v>
      </c>
      <c r="F32" s="169">
        <f t="shared" si="1"/>
        <v>0.46366702064833587</v>
      </c>
      <c r="G32" s="115"/>
    </row>
    <row r="33" spans="1:7" ht="12" customHeight="1">
      <c r="A33" s="2" t="s">
        <v>187</v>
      </c>
      <c r="B33" s="210">
        <v>4300</v>
      </c>
      <c r="C33" s="210">
        <v>2300</v>
      </c>
      <c r="D33" s="210"/>
      <c r="E33" s="164">
        <f t="shared" si="0"/>
        <v>6600</v>
      </c>
      <c r="F33" s="169">
        <f t="shared" si="1"/>
        <v>1.3910010619450077</v>
      </c>
      <c r="G33" s="115"/>
    </row>
    <row r="34" spans="1:7" ht="12" customHeight="1">
      <c r="A34" s="2" t="s">
        <v>148</v>
      </c>
      <c r="B34" s="210">
        <v>2177.26</v>
      </c>
      <c r="C34" s="210">
        <v>6000</v>
      </c>
      <c r="D34" s="210">
        <v>2000</v>
      </c>
      <c r="E34" s="164">
        <f aca="true" t="shared" si="2" ref="E34:E49">SUM(B34:D34)</f>
        <v>10177.26</v>
      </c>
      <c r="F34" s="169">
        <f t="shared" si="1"/>
        <v>2.1449362829834016</v>
      </c>
      <c r="G34" s="210"/>
    </row>
    <row r="35" spans="1:7" ht="12" customHeight="1">
      <c r="A35" s="2" t="s">
        <v>161</v>
      </c>
      <c r="B35" s="210"/>
      <c r="C35" s="210"/>
      <c r="D35" s="210">
        <v>5000</v>
      </c>
      <c r="E35" s="164">
        <f t="shared" si="2"/>
        <v>5000</v>
      </c>
      <c r="F35" s="169">
        <f t="shared" si="1"/>
        <v>1.0537886832916725</v>
      </c>
      <c r="G35" s="210"/>
    </row>
    <row r="36" spans="1:7" ht="12" customHeight="1">
      <c r="A36" s="2" t="s">
        <v>190</v>
      </c>
      <c r="B36" s="210"/>
      <c r="C36" s="210"/>
      <c r="D36" s="210">
        <v>6500</v>
      </c>
      <c r="E36" s="164">
        <f t="shared" si="2"/>
        <v>6500</v>
      </c>
      <c r="F36" s="169">
        <f t="shared" si="1"/>
        <v>1.3699252882791744</v>
      </c>
      <c r="G36" s="210"/>
    </row>
    <row r="37" spans="1:7" ht="12" customHeight="1">
      <c r="A37" s="2" t="s">
        <v>175</v>
      </c>
      <c r="B37" s="210"/>
      <c r="C37" s="210"/>
      <c r="D37" s="210">
        <v>7000</v>
      </c>
      <c r="E37" s="164">
        <f t="shared" si="2"/>
        <v>7000</v>
      </c>
      <c r="F37" s="169">
        <f t="shared" si="1"/>
        <v>1.4753041566083416</v>
      </c>
      <c r="G37" s="210"/>
    </row>
    <row r="38" spans="1:7" ht="12" customHeight="1">
      <c r="A38" s="2" t="s">
        <v>513</v>
      </c>
      <c r="B38" s="210"/>
      <c r="C38" s="210">
        <v>153500</v>
      </c>
      <c r="D38" s="210"/>
      <c r="E38" s="164">
        <f t="shared" si="2"/>
        <v>153500</v>
      </c>
      <c r="F38" s="169">
        <f t="shared" si="1"/>
        <v>32.351312577054344</v>
      </c>
      <c r="G38" s="210"/>
    </row>
    <row r="39" spans="1:7" ht="12" customHeight="1">
      <c r="A39" s="2" t="s">
        <v>105</v>
      </c>
      <c r="B39" s="210">
        <v>3300</v>
      </c>
      <c r="C39" s="210">
        <v>5000</v>
      </c>
      <c r="D39" s="210"/>
      <c r="E39" s="164">
        <f t="shared" si="2"/>
        <v>8300</v>
      </c>
      <c r="F39" s="169">
        <f t="shared" si="1"/>
        <v>1.7492892142641763</v>
      </c>
      <c r="G39" s="210"/>
    </row>
    <row r="40" spans="1:7" ht="12" customHeight="1">
      <c r="A40" s="2" t="s">
        <v>282</v>
      </c>
      <c r="B40" s="210"/>
      <c r="C40" s="210"/>
      <c r="D40" s="210">
        <v>6400</v>
      </c>
      <c r="E40" s="164">
        <f t="shared" si="2"/>
        <v>6400</v>
      </c>
      <c r="F40" s="169">
        <f t="shared" si="1"/>
        <v>1.3488495146133408</v>
      </c>
      <c r="G40" s="115"/>
    </row>
    <row r="41" spans="1:7" ht="12" customHeight="1">
      <c r="A41" s="2" t="s">
        <v>494</v>
      </c>
      <c r="B41" s="210"/>
      <c r="C41" s="210"/>
      <c r="D41" s="210">
        <v>2700</v>
      </c>
      <c r="E41" s="164">
        <f t="shared" si="2"/>
        <v>2700</v>
      </c>
      <c r="F41" s="169">
        <f t="shared" si="1"/>
        <v>0.5690458889775031</v>
      </c>
      <c r="G41" s="115"/>
    </row>
    <row r="42" spans="1:7" ht="12" customHeight="1">
      <c r="A42" s="2" t="s">
        <v>174</v>
      </c>
      <c r="B42" s="210">
        <v>2500</v>
      </c>
      <c r="C42" s="210"/>
      <c r="D42" s="210"/>
      <c r="E42" s="164">
        <f t="shared" si="2"/>
        <v>2500</v>
      </c>
      <c r="F42" s="169">
        <f t="shared" si="1"/>
        <v>0.5268943416458363</v>
      </c>
      <c r="G42" s="115"/>
    </row>
    <row r="43" spans="1:7" ht="12" customHeight="1">
      <c r="A43" s="2" t="s">
        <v>283</v>
      </c>
      <c r="B43" s="210">
        <v>15000</v>
      </c>
      <c r="C43" s="210">
        <v>2500</v>
      </c>
      <c r="D43" s="210"/>
      <c r="E43" s="164">
        <f t="shared" si="2"/>
        <v>17500</v>
      </c>
      <c r="F43" s="169">
        <f t="shared" si="1"/>
        <v>3.688260391520854</v>
      </c>
      <c r="G43" s="115"/>
    </row>
    <row r="44" spans="1:7" ht="12" customHeight="1">
      <c r="A44" s="2" t="s">
        <v>98</v>
      </c>
      <c r="B44" s="210"/>
      <c r="C44" s="210">
        <v>15000</v>
      </c>
      <c r="D44" s="210"/>
      <c r="E44" s="164">
        <f t="shared" si="2"/>
        <v>15000</v>
      </c>
      <c r="F44" s="169">
        <f t="shared" si="1"/>
        <v>3.1613660498750176</v>
      </c>
      <c r="G44" s="115"/>
    </row>
    <row r="45" spans="1:7" ht="12" customHeight="1">
      <c r="A45" s="2" t="s">
        <v>114</v>
      </c>
      <c r="B45" s="210"/>
      <c r="C45" s="210"/>
      <c r="D45" s="210">
        <v>2398</v>
      </c>
      <c r="E45" s="164">
        <f t="shared" si="2"/>
        <v>2398</v>
      </c>
      <c r="F45" s="169">
        <f t="shared" si="1"/>
        <v>0.5053970525066861</v>
      </c>
      <c r="G45" s="210"/>
    </row>
    <row r="46" spans="1:7" ht="12" customHeight="1">
      <c r="A46" s="2" t="s">
        <v>471</v>
      </c>
      <c r="B46" s="210">
        <v>4300</v>
      </c>
      <c r="C46" s="210"/>
      <c r="D46" s="210"/>
      <c r="E46" s="164">
        <f t="shared" si="2"/>
        <v>4300</v>
      </c>
      <c r="F46" s="169">
        <f t="shared" si="1"/>
        <v>0.9062582676308384</v>
      </c>
      <c r="G46" s="210"/>
    </row>
    <row r="47" spans="1:7" ht="12" customHeight="1">
      <c r="A47" s="2" t="s">
        <v>162</v>
      </c>
      <c r="B47" s="210"/>
      <c r="C47" s="210"/>
      <c r="D47" s="210">
        <v>3000</v>
      </c>
      <c r="E47" s="164">
        <f t="shared" si="2"/>
        <v>3000</v>
      </c>
      <c r="F47" s="169">
        <f t="shared" si="1"/>
        <v>0.6322732099750035</v>
      </c>
      <c r="G47" s="210"/>
    </row>
    <row r="48" spans="1:7" ht="12" customHeight="1">
      <c r="A48" s="2" t="s">
        <v>286</v>
      </c>
      <c r="B48" s="210"/>
      <c r="C48" s="210"/>
      <c r="D48" s="210">
        <f>-4750</f>
        <v>-4750</v>
      </c>
      <c r="E48" s="164">
        <f t="shared" si="2"/>
        <v>-4750</v>
      </c>
      <c r="F48" s="169">
        <f t="shared" si="1"/>
        <v>-1.001099249127089</v>
      </c>
      <c r="G48" s="210"/>
    </row>
    <row r="49" spans="1:7" ht="12" customHeight="1">
      <c r="A49" s="2" t="s">
        <v>460</v>
      </c>
      <c r="B49" s="210"/>
      <c r="C49" s="210"/>
      <c r="D49" s="210">
        <v>7000</v>
      </c>
      <c r="E49" s="164">
        <f t="shared" si="2"/>
        <v>7000</v>
      </c>
      <c r="F49" s="169">
        <f t="shared" si="1"/>
        <v>1.4753041566083416</v>
      </c>
      <c r="G49" s="210"/>
    </row>
    <row r="50" spans="2:7" ht="6" customHeight="1">
      <c r="B50" s="210"/>
      <c r="C50" s="210"/>
      <c r="D50" s="210"/>
      <c r="E50" s="164"/>
      <c r="F50" s="169"/>
      <c r="G50" s="210"/>
    </row>
    <row r="51" spans="1:7" ht="12" customHeight="1" thickBot="1">
      <c r="A51" s="6" t="s">
        <v>127</v>
      </c>
      <c r="B51" s="211">
        <f>SUM(B14:B50)</f>
        <v>82377.26000000001</v>
      </c>
      <c r="C51" s="211">
        <f>SUM(C14:C50)</f>
        <v>225603.16999999998</v>
      </c>
      <c r="D51" s="211">
        <f>SUM(D14:D50)</f>
        <v>166498</v>
      </c>
      <c r="E51" s="211">
        <f>SUM(E14:E50)</f>
        <v>474478.43</v>
      </c>
      <c r="F51" s="211">
        <f>SUM(F14:F50)</f>
        <v>99.99999999999999</v>
      </c>
      <c r="G51" s="210"/>
    </row>
    <row r="52" spans="2:7" ht="12" customHeight="1" thickTop="1">
      <c r="B52" s="210"/>
      <c r="C52" s="210"/>
      <c r="D52" s="210"/>
      <c r="E52" s="164"/>
      <c r="F52" s="169"/>
      <c r="G52" s="210"/>
    </row>
    <row r="53" spans="2:7" ht="12" customHeight="1">
      <c r="B53" s="210"/>
      <c r="C53" s="210"/>
      <c r="D53" s="210"/>
      <c r="E53" s="164"/>
      <c r="F53" s="169"/>
      <c r="G53" s="210"/>
    </row>
    <row r="54" spans="2:7" ht="12" customHeight="1">
      <c r="B54" s="115"/>
      <c r="C54" s="210"/>
      <c r="D54" s="210"/>
      <c r="E54" s="115"/>
      <c r="F54" s="115"/>
      <c r="G54" s="210"/>
    </row>
    <row r="55" spans="2:7" ht="12" customHeight="1">
      <c r="B55" s="115"/>
      <c r="C55" s="115"/>
      <c r="D55" s="115"/>
      <c r="E55" s="115"/>
      <c r="F55" s="115"/>
      <c r="G55" s="210"/>
    </row>
    <row r="56" spans="2:7" ht="12" customHeight="1">
      <c r="B56" s="37"/>
      <c r="C56" s="37"/>
      <c r="D56" s="37"/>
      <c r="E56" s="43"/>
      <c r="F56" s="39"/>
      <c r="G56" s="15"/>
    </row>
    <row r="57" spans="2:5" ht="12.75">
      <c r="B57" s="2"/>
      <c r="C57" s="2"/>
      <c r="D57" s="2"/>
      <c r="E57" s="2"/>
    </row>
    <row r="59" spans="2:4" ht="12.75">
      <c r="B59" s="79"/>
      <c r="C59" s="27"/>
      <c r="D59" s="27"/>
    </row>
    <row r="61" spans="2:4" ht="12.75">
      <c r="B61" s="27"/>
      <c r="C61" s="27"/>
      <c r="D61" s="27"/>
    </row>
    <row r="65" spans="3:4" ht="12.75">
      <c r="C65" s="80"/>
      <c r="D65" s="80"/>
    </row>
    <row r="68" spans="3:4" ht="12.75">
      <c r="C68" s="80"/>
      <c r="D68" s="80"/>
    </row>
  </sheetData>
  <sheetProtection password="8451" sheet="1" objects="1" scenarios="1"/>
  <mergeCells count="6">
    <mergeCell ref="A6:F6"/>
    <mergeCell ref="E1:F1"/>
    <mergeCell ref="A3:F3"/>
    <mergeCell ref="A4:F4"/>
    <mergeCell ref="A5:F5"/>
    <mergeCell ref="E2:F2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9"/>
  <sheetViews>
    <sheetView workbookViewId="0" topLeftCell="A106">
      <selection activeCell="I57" activeCellId="1" sqref="I43 I57"/>
    </sheetView>
  </sheetViews>
  <sheetFormatPr defaultColWidth="9.140625" defaultRowHeight="12.75"/>
  <cols>
    <col min="1" max="1" width="37.57421875" style="2" customWidth="1"/>
    <col min="2" max="2" width="11.28125" style="25" customWidth="1"/>
    <col min="3" max="3" width="10.8515625" style="25" bestFit="1" customWidth="1"/>
    <col min="4" max="4" width="10.8515625" style="25" customWidth="1"/>
    <col min="5" max="5" width="12.00390625" style="25" bestFit="1" customWidth="1"/>
    <col min="6" max="6" width="6.57421875" style="2" bestFit="1" customWidth="1"/>
    <col min="7" max="16384" width="11.421875" style="2" customWidth="1"/>
  </cols>
  <sheetData>
    <row r="1" spans="5:6" ht="12.75">
      <c r="E1" s="245" t="s">
        <v>155</v>
      </c>
      <c r="F1" s="245"/>
    </row>
    <row r="2" spans="5:6" ht="12.75">
      <c r="E2" s="252" t="s">
        <v>425</v>
      </c>
      <c r="F2" s="245"/>
    </row>
    <row r="3" spans="1:6" ht="15">
      <c r="A3" s="244" t="s">
        <v>398</v>
      </c>
      <c r="B3" s="244"/>
      <c r="C3" s="244"/>
      <c r="D3" s="244"/>
      <c r="E3" s="244"/>
      <c r="F3" s="244"/>
    </row>
    <row r="4" spans="1:6" ht="15">
      <c r="A4" s="246" t="s">
        <v>557</v>
      </c>
      <c r="B4" s="246"/>
      <c r="C4" s="246"/>
      <c r="D4" s="246"/>
      <c r="E4" s="246"/>
      <c r="F4" s="246"/>
    </row>
    <row r="5" spans="1:6" ht="15">
      <c r="A5" s="244" t="s">
        <v>411</v>
      </c>
      <c r="B5" s="244"/>
      <c r="C5" s="244"/>
      <c r="D5" s="244"/>
      <c r="E5" s="244"/>
      <c r="F5" s="244"/>
    </row>
    <row r="6" spans="1:7" ht="15">
      <c r="A6" s="244" t="s">
        <v>531</v>
      </c>
      <c r="B6" s="244"/>
      <c r="C6" s="244"/>
      <c r="D6" s="244"/>
      <c r="E6" s="244"/>
      <c r="F6" s="244"/>
      <c r="G6" s="41"/>
    </row>
    <row r="7" spans="1:6" ht="8.25" customHeight="1">
      <c r="A7" s="19"/>
      <c r="B7" s="19"/>
      <c r="C7" s="19"/>
      <c r="D7" s="19"/>
      <c r="E7" s="19"/>
      <c r="F7" s="19"/>
    </row>
    <row r="8" spans="1:6" ht="12.75">
      <c r="A8" s="81"/>
      <c r="B8" s="81"/>
      <c r="C8" s="81"/>
      <c r="D8" s="81"/>
      <c r="E8" s="81"/>
      <c r="F8" s="3"/>
    </row>
    <row r="9" spans="1:6" ht="12.75">
      <c r="A9" s="106" t="s">
        <v>19</v>
      </c>
      <c r="B9" s="107" t="s">
        <v>483</v>
      </c>
      <c r="C9" s="107" t="s">
        <v>484</v>
      </c>
      <c r="D9" s="107" t="s">
        <v>520</v>
      </c>
      <c r="E9" s="106" t="s">
        <v>20</v>
      </c>
      <c r="F9" s="96" t="s">
        <v>21</v>
      </c>
    </row>
    <row r="10" spans="1:6" ht="12.75">
      <c r="A10" s="81"/>
      <c r="B10" s="81"/>
      <c r="C10" s="81"/>
      <c r="D10" s="81"/>
      <c r="E10" s="81"/>
      <c r="F10" s="3"/>
    </row>
    <row r="11" spans="1:6" ht="6" customHeight="1">
      <c r="A11" s="3"/>
      <c r="B11" s="26"/>
      <c r="C11" s="36"/>
      <c r="D11" s="36"/>
      <c r="E11" s="26"/>
      <c r="F11" s="3"/>
    </row>
    <row r="12" spans="1:6" ht="12.75">
      <c r="A12" s="8" t="s">
        <v>183</v>
      </c>
      <c r="B12" s="157"/>
      <c r="C12" s="203"/>
      <c r="D12" s="203">
        <v>2000</v>
      </c>
      <c r="E12" s="157">
        <f aca="true" t="shared" si="0" ref="E12:E52">SUM(B12:D12)</f>
        <v>2000</v>
      </c>
      <c r="F12" s="158">
        <f aca="true" t="shared" si="1" ref="F12:F52">(E12/$E$136*100)</f>
        <v>0.007561206552148868</v>
      </c>
    </row>
    <row r="13" spans="1:6" ht="12.75">
      <c r="A13" s="2" t="s">
        <v>89</v>
      </c>
      <c r="B13" s="157">
        <v>10800</v>
      </c>
      <c r="C13" s="203">
        <v>7200</v>
      </c>
      <c r="D13" s="203">
        <v>16988.41</v>
      </c>
      <c r="E13" s="157">
        <f t="shared" si="0"/>
        <v>34988.41</v>
      </c>
      <c r="F13" s="158">
        <f t="shared" si="1"/>
        <v>0.13227729747063552</v>
      </c>
    </row>
    <row r="14" spans="1:6" ht="12.75">
      <c r="A14" s="2" t="s">
        <v>109</v>
      </c>
      <c r="B14" s="157"/>
      <c r="C14" s="203">
        <v>456195.01</v>
      </c>
      <c r="D14" s="203">
        <v>925460.77</v>
      </c>
      <c r="E14" s="157">
        <f t="shared" si="0"/>
        <v>1381655.78</v>
      </c>
      <c r="F14" s="158">
        <f t="shared" si="1"/>
        <v>5.223492368275178</v>
      </c>
    </row>
    <row r="15" spans="1:6" ht="12.75">
      <c r="A15" s="2" t="s">
        <v>110</v>
      </c>
      <c r="B15" s="157">
        <v>100400</v>
      </c>
      <c r="C15" s="203">
        <v>35000</v>
      </c>
      <c r="D15" s="203">
        <v>75222</v>
      </c>
      <c r="E15" s="157">
        <f t="shared" si="0"/>
        <v>210622</v>
      </c>
      <c r="F15" s="158">
        <f t="shared" si="1"/>
        <v>0.7962782232133494</v>
      </c>
    </row>
    <row r="16" spans="1:6" ht="12.75">
      <c r="A16" s="2" t="s">
        <v>342</v>
      </c>
      <c r="B16" s="157">
        <v>140000</v>
      </c>
      <c r="C16" s="203"/>
      <c r="D16" s="203">
        <v>356700</v>
      </c>
      <c r="E16" s="157">
        <f t="shared" si="0"/>
        <v>496700</v>
      </c>
      <c r="F16" s="158">
        <f t="shared" si="1"/>
        <v>1.8778256472261716</v>
      </c>
    </row>
    <row r="17" spans="1:6" ht="12.75">
      <c r="A17" s="2" t="s">
        <v>231</v>
      </c>
      <c r="B17" s="157"/>
      <c r="C17" s="203">
        <v>313619.97</v>
      </c>
      <c r="D17" s="203">
        <v>1186581.51</v>
      </c>
      <c r="E17" s="157">
        <f t="shared" si="0"/>
        <v>1500201.48</v>
      </c>
      <c r="F17" s="158">
        <f t="shared" si="1"/>
        <v>5.671666630059715</v>
      </c>
    </row>
    <row r="18" spans="1:6" ht="12.75">
      <c r="A18" s="2" t="s">
        <v>343</v>
      </c>
      <c r="B18" s="157">
        <v>45000</v>
      </c>
      <c r="C18" s="203">
        <v>45000</v>
      </c>
      <c r="D18" s="203"/>
      <c r="E18" s="157">
        <f t="shared" si="0"/>
        <v>90000</v>
      </c>
      <c r="F18" s="158">
        <f t="shared" si="1"/>
        <v>0.3402542948466991</v>
      </c>
    </row>
    <row r="19" spans="1:6" ht="12.75">
      <c r="A19" s="2" t="s">
        <v>247</v>
      </c>
      <c r="B19" s="157"/>
      <c r="C19" s="203"/>
      <c r="D19" s="203">
        <v>9000</v>
      </c>
      <c r="E19" s="157">
        <f t="shared" si="0"/>
        <v>9000</v>
      </c>
      <c r="F19" s="158">
        <f t="shared" si="1"/>
        <v>0.03402542948466991</v>
      </c>
    </row>
    <row r="20" spans="1:6" ht="12.75">
      <c r="A20" s="2" t="s">
        <v>189</v>
      </c>
      <c r="B20" s="157"/>
      <c r="C20" s="203">
        <v>8880</v>
      </c>
      <c r="D20" s="203"/>
      <c r="E20" s="157">
        <f t="shared" si="0"/>
        <v>8880</v>
      </c>
      <c r="F20" s="158">
        <f t="shared" si="1"/>
        <v>0.03357175709154098</v>
      </c>
    </row>
    <row r="21" spans="1:6" ht="12.75">
      <c r="A21" s="2" t="s">
        <v>190</v>
      </c>
      <c r="B21" s="157">
        <v>54712</v>
      </c>
      <c r="C21" s="203">
        <v>127555.76</v>
      </c>
      <c r="D21" s="203">
        <v>91419.5</v>
      </c>
      <c r="E21" s="157">
        <f t="shared" si="0"/>
        <v>273687.26</v>
      </c>
      <c r="F21" s="158">
        <f t="shared" si="1"/>
        <v>1.0347029517758355</v>
      </c>
    </row>
    <row r="22" spans="1:6" ht="12.75">
      <c r="A22" s="2" t="s">
        <v>252</v>
      </c>
      <c r="B22" s="157">
        <v>20000</v>
      </c>
      <c r="C22" s="203">
        <v>40000</v>
      </c>
      <c r="D22" s="203"/>
      <c r="E22" s="157">
        <f t="shared" si="0"/>
        <v>60000</v>
      </c>
      <c r="F22" s="158">
        <f t="shared" si="1"/>
        <v>0.22683619656446605</v>
      </c>
    </row>
    <row r="23" spans="1:6" ht="12.75">
      <c r="A23" s="2" t="s">
        <v>251</v>
      </c>
      <c r="B23" s="157">
        <v>38700</v>
      </c>
      <c r="C23" s="203">
        <v>41083</v>
      </c>
      <c r="D23" s="203">
        <v>37883.5</v>
      </c>
      <c r="E23" s="157">
        <f t="shared" si="0"/>
        <v>117666.5</v>
      </c>
      <c r="F23" s="158">
        <f t="shared" si="1"/>
        <v>0.44485035538421247</v>
      </c>
    </row>
    <row r="24" spans="1:6" ht="12.75">
      <c r="A24" s="2" t="s">
        <v>175</v>
      </c>
      <c r="B24" s="157">
        <v>113584</v>
      </c>
      <c r="C24" s="203">
        <v>90017.4</v>
      </c>
      <c r="D24" s="203">
        <v>115573.5</v>
      </c>
      <c r="E24" s="157">
        <f t="shared" si="0"/>
        <v>319174.9</v>
      </c>
      <c r="F24" s="158">
        <f t="shared" si="1"/>
        <v>1.2066736725807299</v>
      </c>
    </row>
    <row r="25" spans="1:6" ht="12.75">
      <c r="A25" s="2" t="s">
        <v>105</v>
      </c>
      <c r="B25" s="157"/>
      <c r="C25" s="203">
        <v>139808</v>
      </c>
      <c r="D25" s="203">
        <v>132000</v>
      </c>
      <c r="E25" s="157">
        <f t="shared" si="0"/>
        <v>271808</v>
      </c>
      <c r="F25" s="158">
        <f t="shared" si="1"/>
        <v>1.0275982152632397</v>
      </c>
    </row>
    <row r="26" spans="1:6" ht="12.75">
      <c r="A26" s="2" t="s">
        <v>111</v>
      </c>
      <c r="B26" s="157"/>
      <c r="C26" s="203">
        <v>80000</v>
      </c>
      <c r="D26" s="203">
        <v>145000</v>
      </c>
      <c r="E26" s="157">
        <f t="shared" si="0"/>
        <v>225000</v>
      </c>
      <c r="F26" s="158">
        <f t="shared" si="1"/>
        <v>0.8506357371167478</v>
      </c>
    </row>
    <row r="27" spans="1:6" ht="12.75">
      <c r="A27" s="2" t="s">
        <v>461</v>
      </c>
      <c r="B27" s="157">
        <v>30000</v>
      </c>
      <c r="C27" s="203"/>
      <c r="D27" s="203"/>
      <c r="E27" s="157">
        <f t="shared" si="0"/>
        <v>30000</v>
      </c>
      <c r="F27" s="158">
        <f t="shared" si="1"/>
        <v>0.11341809828223302</v>
      </c>
    </row>
    <row r="28" spans="1:6" ht="12.75">
      <c r="A28" s="2" t="s">
        <v>281</v>
      </c>
      <c r="B28" s="157">
        <v>302200</v>
      </c>
      <c r="C28" s="203">
        <v>480000</v>
      </c>
      <c r="D28" s="203">
        <v>340000</v>
      </c>
      <c r="E28" s="157">
        <f t="shared" si="0"/>
        <v>1122200</v>
      </c>
      <c r="F28" s="158">
        <f t="shared" si="1"/>
        <v>4.24259299641073</v>
      </c>
    </row>
    <row r="29" spans="1:6" ht="12.75">
      <c r="A29" s="2" t="s">
        <v>282</v>
      </c>
      <c r="B29" s="157"/>
      <c r="C29" s="203">
        <v>150000</v>
      </c>
      <c r="D29" s="203"/>
      <c r="E29" s="157">
        <f t="shared" si="0"/>
        <v>150000</v>
      </c>
      <c r="F29" s="158">
        <f t="shared" si="1"/>
        <v>0.5670904914111651</v>
      </c>
    </row>
    <row r="30" spans="1:6" ht="12.75">
      <c r="A30" s="2" t="s">
        <v>283</v>
      </c>
      <c r="B30" s="157">
        <v>29500</v>
      </c>
      <c r="C30" s="203">
        <v>120100</v>
      </c>
      <c r="D30" s="203">
        <v>291000</v>
      </c>
      <c r="E30" s="157">
        <f t="shared" si="0"/>
        <v>440600</v>
      </c>
      <c r="F30" s="158">
        <f t="shared" si="1"/>
        <v>1.6657338034383957</v>
      </c>
    </row>
    <row r="31" spans="1:6" ht="12.75">
      <c r="A31" s="2" t="s">
        <v>96</v>
      </c>
      <c r="B31" s="157">
        <v>400000</v>
      </c>
      <c r="C31" s="203">
        <v>450000</v>
      </c>
      <c r="D31" s="203">
        <v>400000</v>
      </c>
      <c r="E31" s="157">
        <f t="shared" si="0"/>
        <v>1250000</v>
      </c>
      <c r="F31" s="158">
        <f t="shared" si="1"/>
        <v>4.725754095093042</v>
      </c>
    </row>
    <row r="32" spans="1:6" ht="12.75">
      <c r="A32" s="2" t="s">
        <v>97</v>
      </c>
      <c r="B32" s="157">
        <v>800000</v>
      </c>
      <c r="C32" s="203">
        <v>600000</v>
      </c>
      <c r="D32" s="203">
        <v>20000</v>
      </c>
      <c r="E32" s="157">
        <f t="shared" si="0"/>
        <v>1420000</v>
      </c>
      <c r="F32" s="158">
        <f t="shared" si="1"/>
        <v>5.368456652025697</v>
      </c>
    </row>
    <row r="33" spans="1:6" ht="12.75">
      <c r="A33" s="2" t="s">
        <v>394</v>
      </c>
      <c r="B33" s="157">
        <v>170000</v>
      </c>
      <c r="C33" s="203">
        <v>980000</v>
      </c>
      <c r="D33" s="203">
        <v>820000</v>
      </c>
      <c r="E33" s="157">
        <f t="shared" si="0"/>
        <v>1970000</v>
      </c>
      <c r="F33" s="158">
        <f t="shared" si="1"/>
        <v>7.447788453866636</v>
      </c>
    </row>
    <row r="34" spans="1:6" ht="12.75">
      <c r="A34" s="2" t="s">
        <v>99</v>
      </c>
      <c r="B34" s="157"/>
      <c r="C34" s="203"/>
      <c r="D34" s="203">
        <v>50000</v>
      </c>
      <c r="E34" s="157">
        <f t="shared" si="0"/>
        <v>50000</v>
      </c>
      <c r="F34" s="158">
        <f t="shared" si="1"/>
        <v>0.1890301638037217</v>
      </c>
    </row>
    <row r="35" spans="1:6" ht="12.75">
      <c r="A35" s="2" t="s">
        <v>395</v>
      </c>
      <c r="B35" s="157"/>
      <c r="C35" s="203">
        <v>114680</v>
      </c>
      <c r="D35" s="203"/>
      <c r="E35" s="157">
        <f t="shared" si="0"/>
        <v>114680</v>
      </c>
      <c r="F35" s="158">
        <f t="shared" si="1"/>
        <v>0.43355958370021613</v>
      </c>
    </row>
    <row r="36" spans="1:6" ht="12.75">
      <c r="A36" s="2" t="s">
        <v>174</v>
      </c>
      <c r="B36" s="157"/>
      <c r="C36" s="203"/>
      <c r="D36" s="203">
        <v>30000</v>
      </c>
      <c r="E36" s="157">
        <f t="shared" si="0"/>
        <v>30000</v>
      </c>
      <c r="F36" s="158">
        <f t="shared" si="1"/>
        <v>0.11341809828223302</v>
      </c>
    </row>
    <row r="37" spans="1:6" ht="12.75">
      <c r="A37" s="2" t="s">
        <v>98</v>
      </c>
      <c r="B37" s="157"/>
      <c r="C37" s="203"/>
      <c r="D37" s="203">
        <v>30000</v>
      </c>
      <c r="E37" s="157">
        <f t="shared" si="0"/>
        <v>30000</v>
      </c>
      <c r="F37" s="158">
        <f t="shared" si="1"/>
        <v>0.11341809828223302</v>
      </c>
    </row>
    <row r="38" spans="1:6" ht="12.75">
      <c r="A38" s="2" t="s">
        <v>285</v>
      </c>
      <c r="B38" s="157"/>
      <c r="C38" s="203">
        <v>176800</v>
      </c>
      <c r="D38" s="203">
        <v>377000</v>
      </c>
      <c r="E38" s="157">
        <f t="shared" si="0"/>
        <v>553800</v>
      </c>
      <c r="F38" s="158">
        <f t="shared" si="1"/>
        <v>2.093698094290022</v>
      </c>
    </row>
    <row r="39" spans="1:6" ht="12.75">
      <c r="A39" s="2" t="s">
        <v>170</v>
      </c>
      <c r="B39" s="157"/>
      <c r="C39" s="203"/>
      <c r="D39" s="203">
        <v>30000</v>
      </c>
      <c r="E39" s="157">
        <f t="shared" si="0"/>
        <v>30000</v>
      </c>
      <c r="F39" s="158">
        <f t="shared" si="1"/>
        <v>0.11341809828223302</v>
      </c>
    </row>
    <row r="40" spans="1:6" ht="12.75">
      <c r="A40" s="2" t="s">
        <v>232</v>
      </c>
      <c r="B40" s="157">
        <v>19161.29</v>
      </c>
      <c r="C40" s="203">
        <v>200000</v>
      </c>
      <c r="D40" s="203">
        <v>168305.17</v>
      </c>
      <c r="E40" s="157">
        <f t="shared" si="0"/>
        <v>387466.46</v>
      </c>
      <c r="F40" s="158">
        <f t="shared" si="1"/>
        <v>1.4648569680449637</v>
      </c>
    </row>
    <row r="41" spans="1:6" ht="12.75">
      <c r="A41" s="2" t="s">
        <v>100</v>
      </c>
      <c r="B41" s="157"/>
      <c r="C41" s="203"/>
      <c r="D41" s="203">
        <v>255000</v>
      </c>
      <c r="E41" s="157">
        <f t="shared" si="0"/>
        <v>255000</v>
      </c>
      <c r="F41" s="158">
        <f t="shared" si="1"/>
        <v>0.9640538353989807</v>
      </c>
    </row>
    <row r="42" spans="1:6" ht="12.75">
      <c r="A42" s="2" t="s">
        <v>101</v>
      </c>
      <c r="B42" s="157">
        <v>125800</v>
      </c>
      <c r="C42" s="203">
        <v>84400</v>
      </c>
      <c r="D42" s="203">
        <v>114400</v>
      </c>
      <c r="E42" s="157">
        <f t="shared" si="0"/>
        <v>324600</v>
      </c>
      <c r="F42" s="158">
        <f t="shared" si="1"/>
        <v>1.2271838234137613</v>
      </c>
    </row>
    <row r="43" spans="1:6" ht="12.75">
      <c r="A43" s="2" t="s">
        <v>245</v>
      </c>
      <c r="B43" s="157">
        <v>25000</v>
      </c>
      <c r="C43" s="203">
        <v>60000</v>
      </c>
      <c r="D43" s="203">
        <v>25000</v>
      </c>
      <c r="E43" s="157">
        <f t="shared" si="0"/>
        <v>110000</v>
      </c>
      <c r="F43" s="158">
        <f t="shared" si="1"/>
        <v>0.4158663603681878</v>
      </c>
    </row>
    <row r="44" spans="1:6" ht="12.75">
      <c r="A44" s="2" t="s">
        <v>396</v>
      </c>
      <c r="B44" s="157">
        <v>100000</v>
      </c>
      <c r="C44" s="203">
        <v>100000</v>
      </c>
      <c r="D44" s="203">
        <v>100000</v>
      </c>
      <c r="E44" s="157">
        <f t="shared" si="0"/>
        <v>300000</v>
      </c>
      <c r="F44" s="158">
        <f t="shared" si="1"/>
        <v>1.1341809828223302</v>
      </c>
    </row>
    <row r="45" spans="1:6" ht="12.75">
      <c r="A45" s="2" t="s">
        <v>102</v>
      </c>
      <c r="B45" s="157">
        <v>66552.74</v>
      </c>
      <c r="C45" s="203">
        <v>155423</v>
      </c>
      <c r="D45" s="203">
        <v>67500</v>
      </c>
      <c r="E45" s="157">
        <f t="shared" si="0"/>
        <v>289475.74</v>
      </c>
      <c r="F45" s="158">
        <f t="shared" si="1"/>
        <v>1.094392930988071</v>
      </c>
    </row>
    <row r="46" spans="1:6" ht="12.75">
      <c r="A46" s="2" t="s">
        <v>379</v>
      </c>
      <c r="B46" s="157">
        <v>272000</v>
      </c>
      <c r="C46" s="203"/>
      <c r="D46" s="203">
        <v>100000</v>
      </c>
      <c r="E46" s="157">
        <f t="shared" si="0"/>
        <v>372000</v>
      </c>
      <c r="F46" s="158">
        <f t="shared" si="1"/>
        <v>1.4063844186996897</v>
      </c>
    </row>
    <row r="47" spans="1:6" ht="12.75">
      <c r="A47" s="2" t="s">
        <v>112</v>
      </c>
      <c r="B47" s="157">
        <v>100000</v>
      </c>
      <c r="C47" s="203">
        <v>100000</v>
      </c>
      <c r="D47" s="203">
        <v>125000</v>
      </c>
      <c r="E47" s="157">
        <f t="shared" si="0"/>
        <v>325000</v>
      </c>
      <c r="F47" s="158">
        <f t="shared" si="1"/>
        <v>1.2286960647241911</v>
      </c>
    </row>
    <row r="48" spans="1:6" ht="12.75">
      <c r="A48" s="2" t="s">
        <v>286</v>
      </c>
      <c r="B48" s="157">
        <v>140500</v>
      </c>
      <c r="C48" s="203">
        <v>130000</v>
      </c>
      <c r="D48" s="203">
        <v>162000</v>
      </c>
      <c r="E48" s="157">
        <f t="shared" si="0"/>
        <v>432500</v>
      </c>
      <c r="F48" s="158">
        <f t="shared" si="1"/>
        <v>1.6351109169021927</v>
      </c>
    </row>
    <row r="49" spans="1:6" ht="12.75">
      <c r="A49" s="2" t="s">
        <v>507</v>
      </c>
      <c r="B49" s="157">
        <v>80000</v>
      </c>
      <c r="C49" s="203">
        <v>128400</v>
      </c>
      <c r="D49" s="203">
        <v>95000</v>
      </c>
      <c r="E49" s="157">
        <f t="shared" si="0"/>
        <v>303400</v>
      </c>
      <c r="F49" s="158">
        <f t="shared" si="1"/>
        <v>1.1470350339609834</v>
      </c>
    </row>
    <row r="50" spans="1:6" ht="12.75">
      <c r="A50" s="2" t="s">
        <v>397</v>
      </c>
      <c r="B50" s="157">
        <v>90000</v>
      </c>
      <c r="C50" s="203">
        <v>110000</v>
      </c>
      <c r="D50" s="203">
        <v>90000</v>
      </c>
      <c r="E50" s="157">
        <f t="shared" si="0"/>
        <v>290000</v>
      </c>
      <c r="F50" s="158">
        <f t="shared" si="1"/>
        <v>1.096374950061586</v>
      </c>
    </row>
    <row r="51" spans="1:6" ht="12.75">
      <c r="A51" s="2" t="s">
        <v>234</v>
      </c>
      <c r="B51" s="157">
        <v>100000</v>
      </c>
      <c r="C51" s="203">
        <v>200000</v>
      </c>
      <c r="D51" s="203">
        <f>-62507.01</f>
        <v>-62507.01</v>
      </c>
      <c r="E51" s="157">
        <f t="shared" si="0"/>
        <v>237492.99</v>
      </c>
      <c r="F51" s="158">
        <f t="shared" si="1"/>
        <v>0.8978667760387128</v>
      </c>
    </row>
    <row r="52" spans="1:6" ht="12.75">
      <c r="A52" s="2" t="s">
        <v>256</v>
      </c>
      <c r="B52" s="157">
        <v>90000</v>
      </c>
      <c r="C52" s="203">
        <v>82399</v>
      </c>
      <c r="D52" s="203">
        <v>152960</v>
      </c>
      <c r="E52" s="157">
        <f t="shared" si="0"/>
        <v>325359</v>
      </c>
      <c r="F52" s="158">
        <f t="shared" si="1"/>
        <v>1.2300533013003019</v>
      </c>
    </row>
    <row r="53" spans="2:6" ht="12.75">
      <c r="B53" s="157"/>
      <c r="C53" s="203"/>
      <c r="D53" s="203"/>
      <c r="E53" s="157"/>
      <c r="F53" s="158"/>
    </row>
    <row r="54" spans="1:6" ht="12.75">
      <c r="A54" s="6" t="s">
        <v>276</v>
      </c>
      <c r="B54" s="212">
        <f>SUM(B12:B53)</f>
        <v>3463910.0300000003</v>
      </c>
      <c r="C54" s="212">
        <f>SUM(C12:C53)</f>
        <v>5806561.14</v>
      </c>
      <c r="D54" s="212">
        <f>SUM(D12:D53)</f>
        <v>6874487.350000001</v>
      </c>
      <c r="E54" s="212">
        <f>SUM(E12:E53)</f>
        <v>16144958.520000001</v>
      </c>
      <c r="F54" s="212">
        <f>SUM(F12:F53)</f>
        <v>61.03768307279783</v>
      </c>
    </row>
    <row r="55" spans="2:6" ht="12.75">
      <c r="B55" s="27"/>
      <c r="C55" s="36"/>
      <c r="D55" s="36"/>
      <c r="E55" s="245" t="s">
        <v>155</v>
      </c>
      <c r="F55" s="245"/>
    </row>
    <row r="56" spans="2:6" ht="12.75">
      <c r="B56" s="27"/>
      <c r="C56" s="36"/>
      <c r="D56" s="36"/>
      <c r="E56" s="252" t="s">
        <v>426</v>
      </c>
      <c r="F56" s="245"/>
    </row>
    <row r="57" spans="1:6" ht="15">
      <c r="A57" s="244" t="s">
        <v>398</v>
      </c>
      <c r="B57" s="244"/>
      <c r="C57" s="244"/>
      <c r="D57" s="244"/>
      <c r="E57" s="244"/>
      <c r="F57" s="244"/>
    </row>
    <row r="58" spans="1:6" ht="15">
      <c r="A58" s="246" t="s">
        <v>557</v>
      </c>
      <c r="B58" s="246"/>
      <c r="C58" s="246"/>
      <c r="D58" s="246"/>
      <c r="E58" s="246"/>
      <c r="F58" s="246"/>
    </row>
    <row r="59" spans="1:6" ht="15">
      <c r="A59" s="244" t="s">
        <v>411</v>
      </c>
      <c r="B59" s="244"/>
      <c r="C59" s="244"/>
      <c r="D59" s="244"/>
      <c r="E59" s="244"/>
      <c r="F59" s="244"/>
    </row>
    <row r="60" spans="1:6" ht="15">
      <c r="A60" s="244" t="s">
        <v>531</v>
      </c>
      <c r="B60" s="244"/>
      <c r="C60" s="244"/>
      <c r="D60" s="244"/>
      <c r="E60" s="244"/>
      <c r="F60" s="244"/>
    </row>
    <row r="61" spans="1:6" ht="8.25" customHeight="1">
      <c r="A61" s="19"/>
      <c r="B61" s="19"/>
      <c r="C61" s="19"/>
      <c r="D61" s="19"/>
      <c r="E61" s="19"/>
      <c r="F61" s="19"/>
    </row>
    <row r="62" spans="1:6" ht="12.75">
      <c r="A62" s="81"/>
      <c r="B62" s="81"/>
      <c r="C62" s="81"/>
      <c r="D62" s="81"/>
      <c r="E62" s="81"/>
      <c r="F62" s="3"/>
    </row>
    <row r="63" spans="1:6" ht="12.75">
      <c r="A63" s="106" t="s">
        <v>19</v>
      </c>
      <c r="B63" s="107" t="s">
        <v>483</v>
      </c>
      <c r="C63" s="107" t="s">
        <v>484</v>
      </c>
      <c r="D63" s="107" t="s">
        <v>520</v>
      </c>
      <c r="E63" s="106" t="s">
        <v>20</v>
      </c>
      <c r="F63" s="96" t="s">
        <v>21</v>
      </c>
    </row>
    <row r="64" spans="1:6" ht="12.75">
      <c r="A64" s="81"/>
      <c r="B64" s="81"/>
      <c r="C64" s="81"/>
      <c r="D64" s="81"/>
      <c r="E64" s="81"/>
      <c r="F64" s="3"/>
    </row>
    <row r="65" spans="1:6" ht="6" customHeight="1">
      <c r="A65" s="81"/>
      <c r="B65" s="191"/>
      <c r="C65" s="191"/>
      <c r="D65" s="191"/>
      <c r="E65" s="191"/>
      <c r="F65" s="127"/>
    </row>
    <row r="66" spans="1:6" ht="12.75" customHeight="1">
      <c r="A66" s="2" t="s">
        <v>287</v>
      </c>
      <c r="B66" s="157"/>
      <c r="C66" s="203">
        <v>100000</v>
      </c>
      <c r="D66" s="2"/>
      <c r="E66" s="157">
        <f aca="true" t="shared" si="2" ref="E66:E107">SUM(B66:D66)</f>
        <v>100000</v>
      </c>
      <c r="F66" s="158">
        <f aca="true" t="shared" si="3" ref="F66:F107">(E66/$E$136*100)</f>
        <v>0.3780603276074434</v>
      </c>
    </row>
    <row r="67" spans="1:6" ht="12.75" customHeight="1">
      <c r="A67" s="2" t="s">
        <v>163</v>
      </c>
      <c r="B67" s="157"/>
      <c r="C67" s="203">
        <v>100000</v>
      </c>
      <c r="D67" s="203"/>
      <c r="E67" s="157">
        <f t="shared" si="2"/>
        <v>100000</v>
      </c>
      <c r="F67" s="158">
        <f t="shared" si="3"/>
        <v>0.3780603276074434</v>
      </c>
    </row>
    <row r="68" spans="1:6" ht="12.75" customHeight="1">
      <c r="A68" s="2" t="s">
        <v>235</v>
      </c>
      <c r="B68" s="157"/>
      <c r="C68" s="203">
        <v>450000</v>
      </c>
      <c r="D68" s="203">
        <v>250000</v>
      </c>
      <c r="E68" s="157">
        <f t="shared" si="2"/>
        <v>700000</v>
      </c>
      <c r="F68" s="158">
        <f t="shared" si="3"/>
        <v>2.6464222932521038</v>
      </c>
    </row>
    <row r="69" spans="1:6" ht="12.75" customHeight="1">
      <c r="A69" s="2" t="s">
        <v>113</v>
      </c>
      <c r="B69" s="157">
        <v>80000</v>
      </c>
      <c r="C69" s="203"/>
      <c r="D69" s="203">
        <v>80000</v>
      </c>
      <c r="E69" s="157">
        <f t="shared" si="2"/>
        <v>160000</v>
      </c>
      <c r="F69" s="158">
        <f t="shared" si="3"/>
        <v>0.6048965241719095</v>
      </c>
    </row>
    <row r="70" spans="1:6" ht="12.75" customHeight="1">
      <c r="A70" s="2" t="s">
        <v>103</v>
      </c>
      <c r="B70" s="157">
        <v>150000</v>
      </c>
      <c r="C70" s="203"/>
      <c r="D70" s="203">
        <v>470756</v>
      </c>
      <c r="E70" s="157">
        <f t="shared" si="2"/>
        <v>620756</v>
      </c>
      <c r="F70" s="158">
        <f t="shared" si="3"/>
        <v>2.346832167242862</v>
      </c>
    </row>
    <row r="71" spans="1:6" ht="12" customHeight="1">
      <c r="A71" s="2" t="s">
        <v>106</v>
      </c>
      <c r="B71" s="157">
        <v>40000</v>
      </c>
      <c r="C71" s="203">
        <v>40000</v>
      </c>
      <c r="D71" s="203">
        <v>40000</v>
      </c>
      <c r="E71" s="157">
        <f t="shared" si="2"/>
        <v>120000</v>
      </c>
      <c r="F71" s="158">
        <f t="shared" si="3"/>
        <v>0.4536723931289321</v>
      </c>
    </row>
    <row r="72" spans="1:6" ht="12" customHeight="1">
      <c r="A72" s="2" t="s">
        <v>448</v>
      </c>
      <c r="B72" s="157">
        <v>40000</v>
      </c>
      <c r="C72" s="203">
        <v>40000</v>
      </c>
      <c r="D72" s="203"/>
      <c r="E72" s="157">
        <f t="shared" si="2"/>
        <v>80000</v>
      </c>
      <c r="F72" s="158">
        <f t="shared" si="3"/>
        <v>0.30244826208595477</v>
      </c>
    </row>
    <row r="73" spans="1:6" ht="12" customHeight="1">
      <c r="A73" s="2" t="s">
        <v>471</v>
      </c>
      <c r="B73" s="157">
        <v>25166.1</v>
      </c>
      <c r="C73" s="203"/>
      <c r="D73" s="203"/>
      <c r="E73" s="157">
        <f t="shared" si="2"/>
        <v>25166.1</v>
      </c>
      <c r="F73" s="158">
        <f t="shared" si="3"/>
        <v>0.0951430401060168</v>
      </c>
    </row>
    <row r="74" spans="1:6" ht="12" customHeight="1">
      <c r="A74" s="2" t="s">
        <v>242</v>
      </c>
      <c r="B74" s="157">
        <v>310000</v>
      </c>
      <c r="C74" s="203">
        <v>80000</v>
      </c>
      <c r="D74" s="203">
        <v>490000</v>
      </c>
      <c r="E74" s="157">
        <f t="shared" si="2"/>
        <v>880000</v>
      </c>
      <c r="F74" s="158">
        <f t="shared" si="3"/>
        <v>3.3269308829455024</v>
      </c>
    </row>
    <row r="75" spans="1:6" ht="12" customHeight="1">
      <c r="A75" s="2" t="s">
        <v>250</v>
      </c>
      <c r="B75" s="157">
        <v>65000</v>
      </c>
      <c r="C75" s="203">
        <v>65000</v>
      </c>
      <c r="D75" s="203">
        <v>85000</v>
      </c>
      <c r="E75" s="157">
        <f t="shared" si="2"/>
        <v>215000</v>
      </c>
      <c r="F75" s="158">
        <f t="shared" si="3"/>
        <v>0.8128297043560033</v>
      </c>
    </row>
    <row r="76" spans="1:6" ht="12" customHeight="1">
      <c r="A76" s="2" t="s">
        <v>453</v>
      </c>
      <c r="B76" s="157">
        <v>99300</v>
      </c>
      <c r="C76" s="203">
        <v>100000</v>
      </c>
      <c r="D76" s="203">
        <v>75000</v>
      </c>
      <c r="E76" s="157">
        <f t="shared" si="2"/>
        <v>274300</v>
      </c>
      <c r="F76" s="158">
        <f t="shared" si="3"/>
        <v>1.0370194786272173</v>
      </c>
    </row>
    <row r="77" spans="1:6" ht="12" customHeight="1">
      <c r="A77" s="2" t="s">
        <v>114</v>
      </c>
      <c r="B77" s="157">
        <v>30000</v>
      </c>
      <c r="C77" s="203">
        <v>36000</v>
      </c>
      <c r="D77" s="203">
        <v>85000</v>
      </c>
      <c r="E77" s="157">
        <f t="shared" si="2"/>
        <v>151000</v>
      </c>
      <c r="F77" s="158">
        <f t="shared" si="3"/>
        <v>0.5708710946872395</v>
      </c>
    </row>
    <row r="78" spans="1:6" ht="12" customHeight="1">
      <c r="A78" s="2" t="s">
        <v>115</v>
      </c>
      <c r="B78" s="157"/>
      <c r="C78" s="203">
        <v>84000</v>
      </c>
      <c r="D78" s="203">
        <v>350000</v>
      </c>
      <c r="E78" s="157">
        <f t="shared" si="2"/>
        <v>434000</v>
      </c>
      <c r="F78" s="158">
        <f t="shared" si="3"/>
        <v>1.6407818218163044</v>
      </c>
    </row>
    <row r="79" spans="1:6" ht="12" customHeight="1">
      <c r="A79" s="2" t="s">
        <v>371</v>
      </c>
      <c r="B79" s="157"/>
      <c r="C79" s="203">
        <v>30000</v>
      </c>
      <c r="D79" s="203">
        <v>18000</v>
      </c>
      <c r="E79" s="157">
        <f t="shared" si="2"/>
        <v>48000</v>
      </c>
      <c r="F79" s="158">
        <f t="shared" si="3"/>
        <v>0.18146895725157283</v>
      </c>
    </row>
    <row r="80" spans="1:6" ht="12" customHeight="1">
      <c r="A80" s="2" t="s">
        <v>372</v>
      </c>
      <c r="B80" s="157">
        <v>100000</v>
      </c>
      <c r="C80" s="203"/>
      <c r="D80" s="203">
        <v>100000</v>
      </c>
      <c r="E80" s="157">
        <f t="shared" si="2"/>
        <v>200000</v>
      </c>
      <c r="F80" s="158">
        <f t="shared" si="3"/>
        <v>0.7561206552148868</v>
      </c>
    </row>
    <row r="81" spans="1:6" ht="12" customHeight="1">
      <c r="A81" s="2" t="s">
        <v>116</v>
      </c>
      <c r="B81" s="157"/>
      <c r="C81" s="203">
        <v>40000</v>
      </c>
      <c r="D81" s="203"/>
      <c r="E81" s="157">
        <f t="shared" si="2"/>
        <v>40000</v>
      </c>
      <c r="F81" s="158">
        <f t="shared" si="3"/>
        <v>0.15122413104297738</v>
      </c>
    </row>
    <row r="82" spans="1:6" ht="12" customHeight="1">
      <c r="A82" s="2" t="s">
        <v>344</v>
      </c>
      <c r="B82" s="157">
        <v>100000</v>
      </c>
      <c r="C82" s="203">
        <v>100000</v>
      </c>
      <c r="D82" s="203">
        <v>200000</v>
      </c>
      <c r="E82" s="157">
        <f t="shared" si="2"/>
        <v>400000</v>
      </c>
      <c r="F82" s="158">
        <f t="shared" si="3"/>
        <v>1.5122413104297736</v>
      </c>
    </row>
    <row r="83" spans="1:6" ht="12" customHeight="1">
      <c r="A83" s="2" t="s">
        <v>117</v>
      </c>
      <c r="B83" s="157">
        <v>50000</v>
      </c>
      <c r="C83" s="203"/>
      <c r="D83" s="203">
        <v>100000</v>
      </c>
      <c r="E83" s="157">
        <f t="shared" si="2"/>
        <v>150000</v>
      </c>
      <c r="F83" s="158">
        <f t="shared" si="3"/>
        <v>0.5670904914111651</v>
      </c>
    </row>
    <row r="84" spans="1:6" ht="12" customHeight="1">
      <c r="A84" s="2" t="s">
        <v>107</v>
      </c>
      <c r="B84" s="203"/>
      <c r="C84" s="203">
        <v>60000</v>
      </c>
      <c r="D84" s="203">
        <v>120000</v>
      </c>
      <c r="E84" s="157">
        <f t="shared" si="2"/>
        <v>180000</v>
      </c>
      <c r="F84" s="158">
        <f t="shared" si="3"/>
        <v>0.6805085896933982</v>
      </c>
    </row>
    <row r="85" spans="1:6" ht="12" customHeight="1">
      <c r="A85" s="2" t="s">
        <v>162</v>
      </c>
      <c r="B85" s="203">
        <v>16000</v>
      </c>
      <c r="C85" s="203">
        <v>10000</v>
      </c>
      <c r="D85" s="203">
        <v>15000</v>
      </c>
      <c r="E85" s="157">
        <f t="shared" si="2"/>
        <v>41000</v>
      </c>
      <c r="F85" s="158">
        <f t="shared" si="3"/>
        <v>0.1550047343190518</v>
      </c>
    </row>
    <row r="86" spans="1:6" ht="12" customHeight="1">
      <c r="A86" s="2" t="s">
        <v>164</v>
      </c>
      <c r="B86" s="203"/>
      <c r="C86" s="203">
        <v>70000</v>
      </c>
      <c r="D86" s="203">
        <v>105000</v>
      </c>
      <c r="E86" s="157">
        <f t="shared" si="2"/>
        <v>175000</v>
      </c>
      <c r="F86" s="158">
        <f t="shared" si="3"/>
        <v>0.6616055733130259</v>
      </c>
    </row>
    <row r="87" spans="1:6" ht="12" customHeight="1">
      <c r="A87" s="2" t="s">
        <v>248</v>
      </c>
      <c r="B87" s="203">
        <v>30000</v>
      </c>
      <c r="C87" s="203">
        <v>40000</v>
      </c>
      <c r="D87" s="203">
        <v>40000</v>
      </c>
      <c r="E87" s="157">
        <f t="shared" si="2"/>
        <v>110000</v>
      </c>
      <c r="F87" s="158">
        <f t="shared" si="3"/>
        <v>0.4158663603681878</v>
      </c>
    </row>
    <row r="88" spans="1:6" ht="12" customHeight="1">
      <c r="A88" s="2" t="s">
        <v>149</v>
      </c>
      <c r="B88" s="203">
        <v>40000</v>
      </c>
      <c r="C88" s="203">
        <v>40000</v>
      </c>
      <c r="D88" s="203"/>
      <c r="E88" s="157">
        <f t="shared" si="2"/>
        <v>80000</v>
      </c>
      <c r="F88" s="158">
        <f t="shared" si="3"/>
        <v>0.30244826208595477</v>
      </c>
    </row>
    <row r="89" spans="1:6" ht="12" customHeight="1">
      <c r="A89" s="2" t="s">
        <v>472</v>
      </c>
      <c r="B89" s="203">
        <v>20000</v>
      </c>
      <c r="C89" s="203"/>
      <c r="D89" s="203">
        <v>25000</v>
      </c>
      <c r="E89" s="157">
        <f t="shared" si="2"/>
        <v>45000</v>
      </c>
      <c r="F89" s="158">
        <f t="shared" si="3"/>
        <v>0.17012714742334956</v>
      </c>
    </row>
    <row r="90" spans="1:6" ht="12" customHeight="1">
      <c r="A90" s="2" t="s">
        <v>108</v>
      </c>
      <c r="B90" s="203">
        <v>42000</v>
      </c>
      <c r="C90" s="203"/>
      <c r="D90" s="203">
        <v>35000</v>
      </c>
      <c r="E90" s="157">
        <f t="shared" si="2"/>
        <v>77000</v>
      </c>
      <c r="F90" s="158">
        <f t="shared" si="3"/>
        <v>0.29110645225773146</v>
      </c>
    </row>
    <row r="91" spans="1:6" ht="12" customHeight="1">
      <c r="A91" s="2" t="s">
        <v>279</v>
      </c>
      <c r="B91" s="203"/>
      <c r="C91" s="203">
        <v>250000</v>
      </c>
      <c r="D91" s="203">
        <v>180000</v>
      </c>
      <c r="E91" s="157">
        <f t="shared" si="2"/>
        <v>430000</v>
      </c>
      <c r="F91" s="158">
        <f t="shared" si="3"/>
        <v>1.6256594087120066</v>
      </c>
    </row>
    <row r="92" spans="1:6" ht="12" customHeight="1">
      <c r="A92" s="2" t="s">
        <v>118</v>
      </c>
      <c r="B92" s="203">
        <v>40000</v>
      </c>
      <c r="C92" s="203"/>
      <c r="D92" s="203">
        <v>60000</v>
      </c>
      <c r="E92" s="157">
        <f t="shared" si="2"/>
        <v>100000</v>
      </c>
      <c r="F92" s="158">
        <f t="shared" si="3"/>
        <v>0.3780603276074434</v>
      </c>
    </row>
    <row r="93" spans="1:6" ht="12" customHeight="1">
      <c r="A93" s="2" t="s">
        <v>119</v>
      </c>
      <c r="B93" s="203">
        <v>50000</v>
      </c>
      <c r="C93" s="203"/>
      <c r="D93" s="203"/>
      <c r="E93" s="157">
        <f t="shared" si="2"/>
        <v>50000</v>
      </c>
      <c r="F93" s="158">
        <f t="shared" si="3"/>
        <v>0.1890301638037217</v>
      </c>
    </row>
    <row r="94" spans="1:6" ht="12" customHeight="1">
      <c r="A94" s="2" t="s">
        <v>120</v>
      </c>
      <c r="B94" s="203">
        <v>25555</v>
      </c>
      <c r="C94" s="203">
        <v>40000</v>
      </c>
      <c r="D94" s="203">
        <v>20000</v>
      </c>
      <c r="E94" s="157">
        <f t="shared" si="2"/>
        <v>85555</v>
      </c>
      <c r="F94" s="158">
        <f t="shared" si="3"/>
        <v>0.3234495132845482</v>
      </c>
    </row>
    <row r="95" spans="1:6" ht="12" customHeight="1">
      <c r="A95" s="2" t="s">
        <v>165</v>
      </c>
      <c r="B95" s="203">
        <v>153000</v>
      </c>
      <c r="C95" s="203">
        <v>50000</v>
      </c>
      <c r="D95" s="203"/>
      <c r="E95" s="157">
        <f t="shared" si="2"/>
        <v>203000</v>
      </c>
      <c r="F95" s="158">
        <f t="shared" si="3"/>
        <v>0.7674624650431101</v>
      </c>
    </row>
    <row r="96" spans="1:6" ht="12" customHeight="1">
      <c r="A96" s="2" t="s">
        <v>121</v>
      </c>
      <c r="B96" s="203"/>
      <c r="C96" s="203">
        <v>20000</v>
      </c>
      <c r="D96" s="203"/>
      <c r="E96" s="157">
        <f t="shared" si="2"/>
        <v>20000</v>
      </c>
      <c r="F96" s="158">
        <f t="shared" si="3"/>
        <v>0.07561206552148869</v>
      </c>
    </row>
    <row r="97" spans="1:6" ht="12" customHeight="1">
      <c r="A97" s="2" t="s">
        <v>122</v>
      </c>
      <c r="B97" s="203"/>
      <c r="C97" s="203">
        <v>30000</v>
      </c>
      <c r="D97" s="203">
        <v>30000</v>
      </c>
      <c r="E97" s="157">
        <f t="shared" si="2"/>
        <v>60000</v>
      </c>
      <c r="F97" s="158">
        <f t="shared" si="3"/>
        <v>0.22683619656446605</v>
      </c>
    </row>
    <row r="98" spans="1:6" ht="12" customHeight="1">
      <c r="A98" s="2" t="s">
        <v>166</v>
      </c>
      <c r="B98" s="203">
        <v>30000</v>
      </c>
      <c r="C98" s="203"/>
      <c r="D98" s="203">
        <v>30000</v>
      </c>
      <c r="E98" s="157">
        <f t="shared" si="2"/>
        <v>60000</v>
      </c>
      <c r="F98" s="158">
        <f t="shared" si="3"/>
        <v>0.22683619656446605</v>
      </c>
    </row>
    <row r="99" spans="1:6" ht="12" customHeight="1">
      <c r="A99" s="2" t="s">
        <v>123</v>
      </c>
      <c r="B99" s="203">
        <v>60000</v>
      </c>
      <c r="C99" s="203">
        <v>80000</v>
      </c>
      <c r="D99" s="203">
        <v>101850</v>
      </c>
      <c r="E99" s="157">
        <f t="shared" si="2"/>
        <v>241850</v>
      </c>
      <c r="F99" s="158">
        <f t="shared" si="3"/>
        <v>0.9143389023186019</v>
      </c>
    </row>
    <row r="100" spans="1:6" ht="12" customHeight="1">
      <c r="A100" s="2" t="s">
        <v>167</v>
      </c>
      <c r="B100" s="203">
        <v>30000</v>
      </c>
      <c r="C100" s="203">
        <v>50000</v>
      </c>
      <c r="D100" s="203">
        <v>80000</v>
      </c>
      <c r="E100" s="157">
        <f t="shared" si="2"/>
        <v>160000</v>
      </c>
      <c r="F100" s="158">
        <f t="shared" si="3"/>
        <v>0.6048965241719095</v>
      </c>
    </row>
    <row r="101" spans="1:6" ht="12" customHeight="1">
      <c r="A101" s="2" t="s">
        <v>253</v>
      </c>
      <c r="B101" s="203">
        <v>40000</v>
      </c>
      <c r="C101" s="203">
        <v>20000</v>
      </c>
      <c r="D101" s="203">
        <v>20000</v>
      </c>
      <c r="E101" s="157">
        <f t="shared" si="2"/>
        <v>80000</v>
      </c>
      <c r="F101" s="158">
        <f t="shared" si="3"/>
        <v>0.30244826208595477</v>
      </c>
    </row>
    <row r="102" spans="1:6" ht="12" customHeight="1">
      <c r="A102" s="2" t="s">
        <v>351</v>
      </c>
      <c r="B102" s="203">
        <v>20000</v>
      </c>
      <c r="C102" s="203">
        <v>30000</v>
      </c>
      <c r="D102" s="203"/>
      <c r="E102" s="157">
        <f t="shared" si="2"/>
        <v>50000</v>
      </c>
      <c r="F102" s="158">
        <f t="shared" si="3"/>
        <v>0.1890301638037217</v>
      </c>
    </row>
    <row r="103" spans="1:6" ht="12" customHeight="1">
      <c r="A103" s="2" t="s">
        <v>124</v>
      </c>
      <c r="B103" s="203">
        <v>45000</v>
      </c>
      <c r="C103" s="203">
        <v>30000</v>
      </c>
      <c r="D103" s="203">
        <v>30000</v>
      </c>
      <c r="E103" s="157">
        <f t="shared" si="2"/>
        <v>105000</v>
      </c>
      <c r="F103" s="158">
        <f t="shared" si="3"/>
        <v>0.3969633439878156</v>
      </c>
    </row>
    <row r="104" spans="1:6" ht="12" customHeight="1">
      <c r="A104" s="2" t="s">
        <v>365</v>
      </c>
      <c r="B104" s="203">
        <v>55000</v>
      </c>
      <c r="C104" s="203">
        <v>50000</v>
      </c>
      <c r="D104" s="203">
        <v>120000</v>
      </c>
      <c r="E104" s="157">
        <f t="shared" si="2"/>
        <v>225000</v>
      </c>
      <c r="F104" s="158">
        <f t="shared" si="3"/>
        <v>0.8506357371167478</v>
      </c>
    </row>
    <row r="105" spans="1:6" ht="12" customHeight="1">
      <c r="A105" s="2" t="s">
        <v>193</v>
      </c>
      <c r="B105" s="203">
        <v>140800</v>
      </c>
      <c r="C105" s="203">
        <v>165000</v>
      </c>
      <c r="D105" s="203">
        <v>156350</v>
      </c>
      <c r="E105" s="157">
        <f t="shared" si="2"/>
        <v>462150</v>
      </c>
      <c r="F105" s="158">
        <f t="shared" si="3"/>
        <v>1.7472058040377998</v>
      </c>
    </row>
    <row r="106" spans="1:6" ht="12" customHeight="1">
      <c r="A106" s="2" t="s">
        <v>255</v>
      </c>
      <c r="B106" s="203"/>
      <c r="C106" s="203">
        <v>20000</v>
      </c>
      <c r="D106" s="203">
        <v>20000</v>
      </c>
      <c r="E106" s="157">
        <f t="shared" si="2"/>
        <v>40000</v>
      </c>
      <c r="F106" s="158">
        <f t="shared" si="3"/>
        <v>0.15122413104297738</v>
      </c>
    </row>
    <row r="107" spans="1:6" ht="12" customHeight="1">
      <c r="A107" s="2" t="s">
        <v>288</v>
      </c>
      <c r="B107" s="203">
        <v>50000</v>
      </c>
      <c r="C107" s="203">
        <v>35000</v>
      </c>
      <c r="D107" s="203">
        <v>50000</v>
      </c>
      <c r="E107" s="157">
        <f t="shared" si="2"/>
        <v>135000</v>
      </c>
      <c r="F107" s="158">
        <f t="shared" si="3"/>
        <v>0.5103814422700487</v>
      </c>
    </row>
    <row r="108" spans="2:6" ht="12" customHeight="1">
      <c r="B108" s="203"/>
      <c r="C108" s="203"/>
      <c r="D108" s="203"/>
      <c r="E108" s="157"/>
      <c r="F108" s="158"/>
    </row>
    <row r="109" spans="1:6" ht="12" customHeight="1">
      <c r="A109" s="6" t="s">
        <v>276</v>
      </c>
      <c r="B109" s="205">
        <f>SUM(B66:B108)</f>
        <v>1976821.1</v>
      </c>
      <c r="C109" s="205">
        <f>SUM(C66:C108)</f>
        <v>2355000</v>
      </c>
      <c r="D109" s="205">
        <f>SUM(D66:D108)</f>
        <v>3581956</v>
      </c>
      <c r="E109" s="205">
        <f>SUM(E66:E108)</f>
        <v>7913777.1</v>
      </c>
      <c r="F109" s="205">
        <f>SUM(F66:F108)</f>
        <v>29.91885163038284</v>
      </c>
    </row>
    <row r="110" spans="2:6" ht="12" customHeight="1">
      <c r="B110" s="27"/>
      <c r="C110" s="36"/>
      <c r="D110" s="36"/>
      <c r="E110" s="245" t="s">
        <v>155</v>
      </c>
      <c r="F110" s="245"/>
    </row>
    <row r="111" spans="2:6" ht="12" customHeight="1">
      <c r="B111" s="27"/>
      <c r="C111" s="36"/>
      <c r="D111" s="36"/>
      <c r="E111" s="252" t="s">
        <v>427</v>
      </c>
      <c r="F111" s="245"/>
    </row>
    <row r="112" spans="1:6" ht="12.75" customHeight="1">
      <c r="A112" s="244" t="s">
        <v>398</v>
      </c>
      <c r="B112" s="244"/>
      <c r="C112" s="244"/>
      <c r="D112" s="244"/>
      <c r="E112" s="244"/>
      <c r="F112" s="244"/>
    </row>
    <row r="113" spans="1:6" ht="12.75" customHeight="1">
      <c r="A113" s="246" t="s">
        <v>557</v>
      </c>
      <c r="B113" s="246"/>
      <c r="C113" s="246"/>
      <c r="D113" s="246"/>
      <c r="E113" s="246"/>
      <c r="F113" s="246"/>
    </row>
    <row r="114" spans="1:6" ht="12.75" customHeight="1">
      <c r="A114" s="244" t="s">
        <v>412</v>
      </c>
      <c r="B114" s="244"/>
      <c r="C114" s="244"/>
      <c r="D114" s="244"/>
      <c r="E114" s="244"/>
      <c r="F114" s="244"/>
    </row>
    <row r="115" spans="1:6" ht="13.5" customHeight="1">
      <c r="A115" s="244" t="s">
        <v>531</v>
      </c>
      <c r="B115" s="244"/>
      <c r="C115" s="244"/>
      <c r="D115" s="244"/>
      <c r="E115" s="244"/>
      <c r="F115" s="244"/>
    </row>
    <row r="116" spans="1:6" ht="8.25" customHeight="1">
      <c r="A116" s="19"/>
      <c r="B116" s="19"/>
      <c r="C116" s="19"/>
      <c r="D116" s="19"/>
      <c r="E116" s="19"/>
      <c r="F116" s="19"/>
    </row>
    <row r="117" spans="1:6" ht="12" customHeight="1">
      <c r="A117" s="81"/>
      <c r="B117" s="81"/>
      <c r="C117" s="81"/>
      <c r="D117" s="81"/>
      <c r="E117" s="81"/>
      <c r="F117" s="3"/>
    </row>
    <row r="118" spans="1:6" ht="12" customHeight="1">
      <c r="A118" s="106" t="s">
        <v>19</v>
      </c>
      <c r="B118" s="107" t="s">
        <v>483</v>
      </c>
      <c r="C118" s="107" t="s">
        <v>484</v>
      </c>
      <c r="D118" s="107" t="s">
        <v>520</v>
      </c>
      <c r="E118" s="106" t="s">
        <v>20</v>
      </c>
      <c r="F118" s="96" t="s">
        <v>21</v>
      </c>
    </row>
    <row r="119" spans="1:6" ht="12" customHeight="1">
      <c r="A119" s="81"/>
      <c r="B119" s="81"/>
      <c r="C119" s="81"/>
      <c r="D119" s="81"/>
      <c r="E119" s="81"/>
      <c r="F119" s="3"/>
    </row>
    <row r="120" spans="2:7" ht="6" customHeight="1">
      <c r="B120" s="203"/>
      <c r="C120" s="203"/>
      <c r="D120" s="203"/>
      <c r="E120" s="157"/>
      <c r="F120" s="204"/>
      <c r="G120" s="115"/>
    </row>
    <row r="121" spans="1:7" ht="12.75" customHeight="1">
      <c r="A121" s="2" t="s">
        <v>194</v>
      </c>
      <c r="B121" s="203">
        <v>40000</v>
      </c>
      <c r="C121" s="203">
        <v>70000</v>
      </c>
      <c r="D121" s="203">
        <v>40000</v>
      </c>
      <c r="E121" s="157">
        <f aca="true" t="shared" si="4" ref="E121:E132">SUM(B121:D121)</f>
        <v>150000</v>
      </c>
      <c r="F121" s="158">
        <f aca="true" t="shared" si="5" ref="F121:F132">(E121/$E$136*100)</f>
        <v>0.5670904914111651</v>
      </c>
      <c r="G121" s="115"/>
    </row>
    <row r="122" spans="1:7" ht="12.75" customHeight="1">
      <c r="A122" s="2" t="s">
        <v>233</v>
      </c>
      <c r="B122" s="203">
        <v>25000</v>
      </c>
      <c r="C122" s="203"/>
      <c r="D122" s="203">
        <v>20000</v>
      </c>
      <c r="E122" s="157">
        <f t="shared" si="4"/>
        <v>45000</v>
      </c>
      <c r="F122" s="158">
        <f t="shared" si="5"/>
        <v>0.17012714742334956</v>
      </c>
      <c r="G122" s="115"/>
    </row>
    <row r="123" spans="1:7" ht="12.75" customHeight="1">
      <c r="A123" s="2" t="s">
        <v>150</v>
      </c>
      <c r="B123" s="203"/>
      <c r="C123" s="203">
        <v>50000</v>
      </c>
      <c r="D123" s="203"/>
      <c r="E123" s="157">
        <f t="shared" si="4"/>
        <v>50000</v>
      </c>
      <c r="F123" s="158">
        <f t="shared" si="5"/>
        <v>0.1890301638037217</v>
      </c>
      <c r="G123" s="115"/>
    </row>
    <row r="124" spans="1:7" ht="12.75" customHeight="1">
      <c r="A124" s="2" t="s">
        <v>195</v>
      </c>
      <c r="B124" s="203">
        <v>40000</v>
      </c>
      <c r="C124" s="203">
        <v>63000</v>
      </c>
      <c r="D124" s="203">
        <v>45150</v>
      </c>
      <c r="E124" s="157">
        <f t="shared" si="4"/>
        <v>148150</v>
      </c>
      <c r="F124" s="158">
        <f t="shared" si="5"/>
        <v>0.5600963753504274</v>
      </c>
      <c r="G124" s="115"/>
    </row>
    <row r="125" spans="1:7" ht="12.75" customHeight="1">
      <c r="A125" s="2" t="s">
        <v>139</v>
      </c>
      <c r="B125" s="203">
        <v>40000</v>
      </c>
      <c r="C125" s="203">
        <v>25000</v>
      </c>
      <c r="D125" s="203">
        <v>25000</v>
      </c>
      <c r="E125" s="157">
        <f t="shared" si="4"/>
        <v>90000</v>
      </c>
      <c r="F125" s="158">
        <f t="shared" si="5"/>
        <v>0.3402542948466991</v>
      </c>
      <c r="G125" s="115"/>
    </row>
    <row r="126" spans="1:7" ht="12.75" customHeight="1">
      <c r="A126" s="2" t="s">
        <v>125</v>
      </c>
      <c r="B126" s="203">
        <v>70000</v>
      </c>
      <c r="C126" s="203">
        <v>109181.97</v>
      </c>
      <c r="D126" s="203">
        <v>70000</v>
      </c>
      <c r="E126" s="157">
        <f t="shared" si="4"/>
        <v>249181.97</v>
      </c>
      <c r="F126" s="158">
        <f t="shared" si="5"/>
        <v>0.9420581721206813</v>
      </c>
      <c r="G126" s="115"/>
    </row>
    <row r="127" spans="1:7" ht="12.75" customHeight="1">
      <c r="A127" s="2" t="s">
        <v>249</v>
      </c>
      <c r="B127" s="203">
        <v>74000</v>
      </c>
      <c r="C127" s="203">
        <v>106500</v>
      </c>
      <c r="D127" s="203">
        <v>243895</v>
      </c>
      <c r="E127" s="157">
        <f t="shared" si="4"/>
        <v>424395</v>
      </c>
      <c r="F127" s="158">
        <f t="shared" si="5"/>
        <v>1.6044691273496094</v>
      </c>
      <c r="G127" s="115"/>
    </row>
    <row r="128" spans="1:7" ht="12" customHeight="1">
      <c r="A128" s="2" t="s">
        <v>293</v>
      </c>
      <c r="B128" s="203">
        <v>25680</v>
      </c>
      <c r="C128" s="203">
        <v>17500</v>
      </c>
      <c r="D128" s="203">
        <v>25680</v>
      </c>
      <c r="E128" s="157">
        <f t="shared" si="4"/>
        <v>68860</v>
      </c>
      <c r="F128" s="158">
        <f t="shared" si="5"/>
        <v>0.26033234159048557</v>
      </c>
      <c r="G128" s="115"/>
    </row>
    <row r="129" spans="1:7" ht="12" customHeight="1">
      <c r="A129" s="2" t="s">
        <v>289</v>
      </c>
      <c r="B129" s="203">
        <v>150000</v>
      </c>
      <c r="C129" s="203">
        <v>100000</v>
      </c>
      <c r="D129" s="203">
        <v>147120</v>
      </c>
      <c r="E129" s="157">
        <f t="shared" si="4"/>
        <v>397120</v>
      </c>
      <c r="F129" s="158">
        <f t="shared" si="5"/>
        <v>1.5013531729946792</v>
      </c>
      <c r="G129" s="115"/>
    </row>
    <row r="130" spans="1:7" ht="12" customHeight="1">
      <c r="A130" s="2" t="s">
        <v>290</v>
      </c>
      <c r="B130" s="203">
        <v>75000</v>
      </c>
      <c r="C130" s="203">
        <v>80000</v>
      </c>
      <c r="D130" s="203">
        <v>90000</v>
      </c>
      <c r="E130" s="157">
        <f t="shared" si="4"/>
        <v>245000</v>
      </c>
      <c r="F130" s="158">
        <f t="shared" si="5"/>
        <v>0.9262478026382365</v>
      </c>
      <c r="G130" s="115"/>
    </row>
    <row r="131" spans="1:7" ht="12" customHeight="1">
      <c r="A131" s="2" t="s">
        <v>366</v>
      </c>
      <c r="B131" s="203">
        <v>84362.4</v>
      </c>
      <c r="C131" s="203"/>
      <c r="D131" s="203">
        <v>140000</v>
      </c>
      <c r="E131" s="157">
        <f t="shared" si="4"/>
        <v>224362.4</v>
      </c>
      <c r="F131" s="158">
        <f t="shared" si="5"/>
        <v>0.8482252244679226</v>
      </c>
      <c r="G131" s="115"/>
    </row>
    <row r="132" spans="1:7" ht="12" customHeight="1">
      <c r="A132" s="2" t="s">
        <v>291</v>
      </c>
      <c r="B132" s="203">
        <v>100000</v>
      </c>
      <c r="C132" s="203">
        <v>100000</v>
      </c>
      <c r="D132" s="203">
        <v>100000</v>
      </c>
      <c r="E132" s="157">
        <f t="shared" si="4"/>
        <v>300000</v>
      </c>
      <c r="F132" s="158">
        <f t="shared" si="5"/>
        <v>1.1341809828223302</v>
      </c>
      <c r="G132" s="115"/>
    </row>
    <row r="133" spans="2:7" ht="12" customHeight="1">
      <c r="B133" s="115"/>
      <c r="C133" s="115"/>
      <c r="D133" s="115"/>
      <c r="E133" s="115"/>
      <c r="F133" s="213"/>
      <c r="G133" s="115"/>
    </row>
    <row r="134" spans="1:7" ht="12" customHeight="1">
      <c r="A134" s="6" t="s">
        <v>276</v>
      </c>
      <c r="B134" s="205">
        <f>SUM(B121:B133)</f>
        <v>724042.4</v>
      </c>
      <c r="C134" s="205">
        <f>SUM(C121:C133)</f>
        <v>721181.97</v>
      </c>
      <c r="D134" s="205">
        <f>SUM(D121:D133)</f>
        <v>946845</v>
      </c>
      <c r="E134" s="205">
        <f>SUM(E121:E133)</f>
        <v>2392069.37</v>
      </c>
      <c r="F134" s="205">
        <f>SUM(F121:F133)</f>
        <v>9.043465296819308</v>
      </c>
      <c r="G134" s="115"/>
    </row>
    <row r="135" spans="2:7" ht="12" customHeight="1">
      <c r="B135" s="207"/>
      <c r="C135" s="207"/>
      <c r="D135" s="207"/>
      <c r="E135" s="207"/>
      <c r="F135" s="208"/>
      <c r="G135" s="115"/>
    </row>
    <row r="136" spans="1:7" ht="12" customHeight="1" thickBot="1">
      <c r="A136" s="6" t="s">
        <v>209</v>
      </c>
      <c r="B136" s="165">
        <f>SUM(B134+B109+B54)</f>
        <v>6164773.53</v>
      </c>
      <c r="C136" s="165">
        <f>SUM(C134+C109+C54)</f>
        <v>8882743.11</v>
      </c>
      <c r="D136" s="165">
        <f>SUM(D134+D109+D54)</f>
        <v>11403288.350000001</v>
      </c>
      <c r="E136" s="165">
        <f>SUM(E134+E109+E54)</f>
        <v>26450804.990000002</v>
      </c>
      <c r="F136" s="172">
        <f>SUM(F134+F109+F54)</f>
        <v>99.99999999999997</v>
      </c>
      <c r="G136" s="115"/>
    </row>
    <row r="137" spans="2:7" ht="12" customHeight="1" thickTop="1">
      <c r="B137" s="115"/>
      <c r="C137" s="115"/>
      <c r="D137" s="115"/>
      <c r="E137" s="115"/>
      <c r="F137" s="115"/>
      <c r="G137" s="115"/>
    </row>
    <row r="138" spans="2:7" ht="12.75">
      <c r="B138" s="115"/>
      <c r="C138" s="115"/>
      <c r="D138" s="115"/>
      <c r="E138" s="115"/>
      <c r="F138" s="115"/>
      <c r="G138" s="115"/>
    </row>
    <row r="139" spans="2:7" ht="12.75">
      <c r="B139" s="115"/>
      <c r="C139" s="203"/>
      <c r="D139" s="203"/>
      <c r="E139" s="115"/>
      <c r="F139" s="115"/>
      <c r="G139" s="115"/>
    </row>
  </sheetData>
  <sheetProtection password="8451" sheet="1" objects="1" scenarios="1"/>
  <mergeCells count="18">
    <mergeCell ref="A59:F59"/>
    <mergeCell ref="A60:F60"/>
    <mergeCell ref="A6:F6"/>
    <mergeCell ref="E55:F55"/>
    <mergeCell ref="A57:F57"/>
    <mergeCell ref="A58:F58"/>
    <mergeCell ref="E56:F56"/>
    <mergeCell ref="E1:F1"/>
    <mergeCell ref="A3:F3"/>
    <mergeCell ref="A4:F4"/>
    <mergeCell ref="A5:F5"/>
    <mergeCell ref="E2:F2"/>
    <mergeCell ref="A115:F115"/>
    <mergeCell ref="E110:F110"/>
    <mergeCell ref="A112:F112"/>
    <mergeCell ref="A113:F113"/>
    <mergeCell ref="A114:F114"/>
    <mergeCell ref="E111:F111"/>
  </mergeCells>
  <printOptions/>
  <pageMargins left="0.96" right="0.35" top="0.58" bottom="0.7874015748031497" header="0" footer="0"/>
  <pageSetup horizontalDpi="600" verticalDpi="600" orientation="portrait" scale="90" r:id="rId1"/>
  <rowBreaks count="2" manualBreakCount="2">
    <brk id="54" max="255" man="1"/>
    <brk id="10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7">
      <selection activeCell="I57" activeCellId="1" sqref="I43 I57"/>
    </sheetView>
  </sheetViews>
  <sheetFormatPr defaultColWidth="9.140625" defaultRowHeight="12.75"/>
  <cols>
    <col min="1" max="1" width="39.8515625" style="2" customWidth="1"/>
    <col min="2" max="2" width="10.00390625" style="25" customWidth="1"/>
    <col min="3" max="4" width="10.7109375" style="25" customWidth="1"/>
    <col min="5" max="5" width="11.421875" style="25" customWidth="1"/>
    <col min="6" max="6" width="6.8515625" style="2" bestFit="1" customWidth="1"/>
    <col min="7" max="7" width="2.57421875" style="2" customWidth="1"/>
    <col min="8" max="16384" width="11.421875" style="2" customWidth="1"/>
  </cols>
  <sheetData>
    <row r="1" spans="5:6" ht="12.75">
      <c r="E1" s="245" t="s">
        <v>156</v>
      </c>
      <c r="F1" s="245"/>
    </row>
    <row r="2" spans="5:6" ht="12.75">
      <c r="E2" s="251" t="s">
        <v>428</v>
      </c>
      <c r="F2" s="245"/>
    </row>
    <row r="3" spans="1:6" ht="15">
      <c r="A3" s="244" t="s">
        <v>398</v>
      </c>
      <c r="B3" s="244"/>
      <c r="C3" s="244"/>
      <c r="D3" s="244"/>
      <c r="E3" s="244"/>
      <c r="F3" s="244"/>
    </row>
    <row r="4" spans="1:6" ht="15">
      <c r="A4" s="246" t="s">
        <v>558</v>
      </c>
      <c r="B4" s="246"/>
      <c r="C4" s="246"/>
      <c r="D4" s="246"/>
      <c r="E4" s="246"/>
      <c r="F4" s="246"/>
    </row>
    <row r="5" spans="1:6" ht="15">
      <c r="A5" s="244" t="s">
        <v>413</v>
      </c>
      <c r="B5" s="244"/>
      <c r="C5" s="244"/>
      <c r="D5" s="244"/>
      <c r="E5" s="244"/>
      <c r="F5" s="244"/>
    </row>
    <row r="6" spans="1:7" ht="15">
      <c r="A6" s="244" t="s">
        <v>531</v>
      </c>
      <c r="B6" s="244"/>
      <c r="C6" s="244"/>
      <c r="D6" s="244"/>
      <c r="E6" s="244"/>
      <c r="F6" s="244"/>
      <c r="G6" s="41"/>
    </row>
    <row r="7" spans="1:6" ht="8.25" customHeight="1">
      <c r="A7" s="19"/>
      <c r="B7" s="19"/>
      <c r="C7" s="19"/>
      <c r="D7" s="19"/>
      <c r="E7" s="19"/>
      <c r="F7" s="19"/>
    </row>
    <row r="8" spans="1:6" ht="12.75">
      <c r="A8" s="81"/>
      <c r="B8" s="81"/>
      <c r="C8" s="81"/>
      <c r="D8" s="81"/>
      <c r="E8" s="81"/>
      <c r="F8" s="3"/>
    </row>
    <row r="9" spans="1:6" ht="12.75">
      <c r="A9" s="106" t="s">
        <v>19</v>
      </c>
      <c r="B9" s="107" t="s">
        <v>483</v>
      </c>
      <c r="C9" s="107" t="s">
        <v>484</v>
      </c>
      <c r="D9" s="107" t="s">
        <v>520</v>
      </c>
      <c r="E9" s="106" t="s">
        <v>20</v>
      </c>
      <c r="F9" s="96" t="s">
        <v>21</v>
      </c>
    </row>
    <row r="10" spans="1:6" ht="12.75">
      <c r="A10" s="81"/>
      <c r="B10" s="81"/>
      <c r="C10" s="81"/>
      <c r="D10" s="81"/>
      <c r="E10" s="81"/>
      <c r="F10" s="3"/>
    </row>
    <row r="11" spans="1:6" ht="6" customHeight="1">
      <c r="A11" s="3"/>
      <c r="B11" s="26"/>
      <c r="C11" s="26"/>
      <c r="D11" s="26"/>
      <c r="E11" s="26"/>
      <c r="F11" s="82"/>
    </row>
    <row r="12" spans="1:6" ht="12.75">
      <c r="A12" s="2" t="s">
        <v>89</v>
      </c>
      <c r="B12" s="203"/>
      <c r="C12" s="203"/>
      <c r="D12" s="203">
        <v>554</v>
      </c>
      <c r="E12" s="157">
        <f aca="true" t="shared" si="0" ref="E12:E28">SUM(B12:D12)</f>
        <v>554</v>
      </c>
      <c r="F12" s="158">
        <f aca="true" t="shared" si="1" ref="F12:F28">(E12/$E$30*100)</f>
        <v>0.05242612293395888</v>
      </c>
    </row>
    <row r="13" spans="1:6" ht="12.75">
      <c r="A13" s="59" t="s">
        <v>236</v>
      </c>
      <c r="B13" s="203">
        <v>250237.28</v>
      </c>
      <c r="C13" s="203">
        <v>27691.58</v>
      </c>
      <c r="D13" s="203">
        <v>334440.24</v>
      </c>
      <c r="E13" s="157">
        <f t="shared" si="0"/>
        <v>612369.1</v>
      </c>
      <c r="F13" s="158">
        <f t="shared" si="1"/>
        <v>57.9497070714039</v>
      </c>
    </row>
    <row r="14" spans="1:6" ht="12.75">
      <c r="A14" s="2" t="s">
        <v>185</v>
      </c>
      <c r="B14" s="203">
        <v>3500</v>
      </c>
      <c r="C14" s="203"/>
      <c r="D14" s="203"/>
      <c r="E14" s="157">
        <f t="shared" si="0"/>
        <v>3500</v>
      </c>
      <c r="F14" s="158">
        <f t="shared" si="1"/>
        <v>0.33121196799432506</v>
      </c>
    </row>
    <row r="15" spans="1:6" ht="12.75">
      <c r="A15" s="2" t="s">
        <v>508</v>
      </c>
      <c r="B15" s="203">
        <v>1500</v>
      </c>
      <c r="C15" s="203"/>
      <c r="D15" s="203"/>
      <c r="E15" s="157">
        <f t="shared" si="0"/>
        <v>1500</v>
      </c>
      <c r="F15" s="158">
        <f t="shared" si="1"/>
        <v>0.14194798628328217</v>
      </c>
    </row>
    <row r="16" spans="1:6" ht="12.75">
      <c r="A16" s="2" t="s">
        <v>353</v>
      </c>
      <c r="B16" s="203"/>
      <c r="C16" s="203">
        <v>2500</v>
      </c>
      <c r="D16" s="203"/>
      <c r="E16" s="157">
        <f t="shared" si="0"/>
        <v>2500</v>
      </c>
      <c r="F16" s="158">
        <f t="shared" si="1"/>
        <v>0.23657997713880363</v>
      </c>
    </row>
    <row r="17" spans="1:6" ht="12.75">
      <c r="A17" s="2" t="s">
        <v>247</v>
      </c>
      <c r="B17" s="203">
        <v>12000</v>
      </c>
      <c r="C17" s="203">
        <v>2400</v>
      </c>
      <c r="D17" s="203">
        <v>18800</v>
      </c>
      <c r="E17" s="157">
        <f t="shared" si="0"/>
        <v>33200</v>
      </c>
      <c r="F17" s="158">
        <f t="shared" si="1"/>
        <v>3.1417820964033125</v>
      </c>
    </row>
    <row r="18" spans="1:6" ht="12.75">
      <c r="A18" s="2" t="s">
        <v>105</v>
      </c>
      <c r="B18" s="157">
        <v>84902</v>
      </c>
      <c r="C18" s="186"/>
      <c r="D18" s="186">
        <v>40000</v>
      </c>
      <c r="E18" s="157">
        <f t="shared" si="0"/>
        <v>124902</v>
      </c>
      <c r="F18" s="158">
        <f t="shared" si="1"/>
        <v>11.81972492183634</v>
      </c>
    </row>
    <row r="19" spans="1:6" ht="12.75">
      <c r="A19" s="2" t="s">
        <v>257</v>
      </c>
      <c r="B19" s="157">
        <f>-1500-4500</f>
        <v>-6000</v>
      </c>
      <c r="C19" s="186"/>
      <c r="D19" s="186"/>
      <c r="E19" s="157">
        <f t="shared" si="0"/>
        <v>-6000</v>
      </c>
      <c r="F19" s="158">
        <f t="shared" si="1"/>
        <v>-0.5677919451331287</v>
      </c>
    </row>
    <row r="20" spans="1:6" ht="12.75">
      <c r="A20" s="2" t="s">
        <v>97</v>
      </c>
      <c r="B20" s="157">
        <v>6000</v>
      </c>
      <c r="C20" s="186"/>
      <c r="D20" s="186">
        <v>6000</v>
      </c>
      <c r="E20" s="157">
        <f t="shared" si="0"/>
        <v>12000</v>
      </c>
      <c r="F20" s="158">
        <f t="shared" si="1"/>
        <v>1.1355838902662574</v>
      </c>
    </row>
    <row r="21" spans="1:6" ht="12.75">
      <c r="A21" s="2" t="s">
        <v>285</v>
      </c>
      <c r="B21" s="157">
        <v>2500</v>
      </c>
      <c r="C21" s="186"/>
      <c r="D21" s="186"/>
      <c r="E21" s="157">
        <f t="shared" si="0"/>
        <v>2500</v>
      </c>
      <c r="F21" s="158">
        <f t="shared" si="1"/>
        <v>0.23657997713880363</v>
      </c>
    </row>
    <row r="22" spans="1:6" ht="12.75">
      <c r="A22" s="2" t="s">
        <v>95</v>
      </c>
      <c r="B22" s="157"/>
      <c r="C22" s="186">
        <v>4000</v>
      </c>
      <c r="D22" s="186"/>
      <c r="E22" s="157">
        <f t="shared" si="0"/>
        <v>4000</v>
      </c>
      <c r="F22" s="158">
        <f t="shared" si="1"/>
        <v>0.3785279634220858</v>
      </c>
    </row>
    <row r="23" spans="1:6" ht="12.75">
      <c r="A23" s="2" t="s">
        <v>514</v>
      </c>
      <c r="B23" s="157"/>
      <c r="C23" s="186">
        <v>16000</v>
      </c>
      <c r="D23" s="186"/>
      <c r="E23" s="157">
        <f t="shared" si="0"/>
        <v>16000</v>
      </c>
      <c r="F23" s="158">
        <f t="shared" si="1"/>
        <v>1.5141118536883431</v>
      </c>
    </row>
    <row r="24" spans="1:6" ht="12.75">
      <c r="A24" s="2" t="s">
        <v>379</v>
      </c>
      <c r="B24" s="157">
        <v>120000</v>
      </c>
      <c r="C24" s="186"/>
      <c r="D24" s="186"/>
      <c r="E24" s="157">
        <f t="shared" si="0"/>
        <v>120000</v>
      </c>
      <c r="F24" s="158">
        <f t="shared" si="1"/>
        <v>11.355838902662574</v>
      </c>
    </row>
    <row r="25" spans="1:6" ht="12.75">
      <c r="A25" s="2" t="s">
        <v>509</v>
      </c>
      <c r="B25" s="157">
        <v>59700</v>
      </c>
      <c r="C25" s="186"/>
      <c r="D25" s="186">
        <v>11000</v>
      </c>
      <c r="E25" s="157">
        <f t="shared" si="0"/>
        <v>70700</v>
      </c>
      <c r="F25" s="158">
        <f t="shared" si="1"/>
        <v>6.690481753485367</v>
      </c>
    </row>
    <row r="26" spans="1:6" ht="12.75">
      <c r="A26" s="2" t="s">
        <v>232</v>
      </c>
      <c r="B26" s="157"/>
      <c r="C26" s="186"/>
      <c r="D26" s="186">
        <v>1600</v>
      </c>
      <c r="E26" s="157">
        <f t="shared" si="0"/>
        <v>1600</v>
      </c>
      <c r="F26" s="158">
        <f t="shared" si="1"/>
        <v>0.15141118536883433</v>
      </c>
    </row>
    <row r="27" spans="1:6" ht="12.75">
      <c r="A27" s="2" t="s">
        <v>101</v>
      </c>
      <c r="B27" s="157"/>
      <c r="C27" s="186"/>
      <c r="D27" s="186">
        <v>25000</v>
      </c>
      <c r="E27" s="157">
        <f t="shared" si="0"/>
        <v>25000</v>
      </c>
      <c r="F27" s="158">
        <f t="shared" si="1"/>
        <v>2.365799771388036</v>
      </c>
    </row>
    <row r="28" spans="1:6" ht="12.75">
      <c r="A28" s="2" t="s">
        <v>249</v>
      </c>
      <c r="B28" s="157">
        <v>32400</v>
      </c>
      <c r="C28" s="186"/>
      <c r="D28" s="186"/>
      <c r="E28" s="157">
        <f t="shared" si="0"/>
        <v>32400</v>
      </c>
      <c r="F28" s="158">
        <f t="shared" si="1"/>
        <v>3.066076503718895</v>
      </c>
    </row>
    <row r="29" spans="2:6" ht="12.75">
      <c r="B29" s="203"/>
      <c r="C29" s="203"/>
      <c r="D29" s="203"/>
      <c r="E29" s="157"/>
      <c r="F29" s="158"/>
    </row>
    <row r="30" spans="1:7" ht="13.5" thickBot="1">
      <c r="A30" s="6" t="s">
        <v>127</v>
      </c>
      <c r="B30" s="214">
        <f>SUM(B12:B29)</f>
        <v>566739.28</v>
      </c>
      <c r="C30" s="214">
        <f>SUM(C12:C29)</f>
        <v>52591.58</v>
      </c>
      <c r="D30" s="214">
        <f>SUM(D12:D29)</f>
        <v>437394.24</v>
      </c>
      <c r="E30" s="214">
        <f>SUM(E12:E29)</f>
        <v>1056725.1</v>
      </c>
      <c r="F30" s="214">
        <f>SUM(F12:F29)</f>
        <v>100</v>
      </c>
      <c r="G30" s="83"/>
    </row>
    <row r="31" spans="2:6" ht="13.5" thickTop="1">
      <c r="B31" s="115"/>
      <c r="C31" s="115"/>
      <c r="D31" s="115"/>
      <c r="E31" s="115"/>
      <c r="F31" s="115"/>
    </row>
    <row r="32" spans="3:4" ht="12.75">
      <c r="C32" s="27"/>
      <c r="D32" s="27"/>
    </row>
    <row r="33" spans="3:4" ht="12.75">
      <c r="C33" s="27"/>
      <c r="D33" s="27"/>
    </row>
    <row r="54" ht="12.75">
      <c r="A54" s="10"/>
    </row>
    <row r="55" ht="12.75">
      <c r="A55" s="10"/>
    </row>
    <row r="56" spans="1:7" ht="12.75">
      <c r="A56" s="21"/>
      <c r="B56" s="92"/>
      <c r="C56" s="92"/>
      <c r="D56" s="92"/>
      <c r="E56" s="92"/>
      <c r="F56" s="92"/>
      <c r="G56" s="92"/>
    </row>
  </sheetData>
  <sheetProtection password="8451" sheet="1" objects="1" scenarios="1"/>
  <mergeCells count="6">
    <mergeCell ref="A6:F6"/>
    <mergeCell ref="E1:F1"/>
    <mergeCell ref="A3:F3"/>
    <mergeCell ref="A4:F4"/>
    <mergeCell ref="A5:F5"/>
    <mergeCell ref="E2:F2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I57" activeCellId="1" sqref="I43 I57"/>
    </sheetView>
  </sheetViews>
  <sheetFormatPr defaultColWidth="9.140625" defaultRowHeight="12.75"/>
  <cols>
    <col min="1" max="1" width="36.7109375" style="2" customWidth="1"/>
    <col min="2" max="2" width="11.421875" style="25" customWidth="1"/>
    <col min="3" max="4" width="11.140625" style="25" customWidth="1"/>
    <col min="5" max="5" width="12.00390625" style="25" bestFit="1" customWidth="1"/>
    <col min="6" max="6" width="6.8515625" style="2" bestFit="1" customWidth="1"/>
    <col min="7" max="16384" width="11.421875" style="2" customWidth="1"/>
  </cols>
  <sheetData>
    <row r="1" spans="5:6" ht="12.75">
      <c r="E1" s="245" t="s">
        <v>157</v>
      </c>
      <c r="F1" s="245"/>
    </row>
    <row r="2" spans="5:6" ht="12.75">
      <c r="E2" s="252" t="s">
        <v>428</v>
      </c>
      <c r="F2" s="245"/>
    </row>
    <row r="3" spans="1:6" ht="15">
      <c r="A3" s="244" t="s">
        <v>398</v>
      </c>
      <c r="B3" s="244"/>
      <c r="C3" s="244"/>
      <c r="D3" s="244"/>
      <c r="E3" s="244"/>
      <c r="F3" s="244"/>
    </row>
    <row r="4" spans="1:6" ht="15">
      <c r="A4" s="246" t="s">
        <v>557</v>
      </c>
      <c r="B4" s="246"/>
      <c r="C4" s="246"/>
      <c r="D4" s="246"/>
      <c r="E4" s="246"/>
      <c r="F4" s="246"/>
    </row>
    <row r="5" spans="1:6" ht="15">
      <c r="A5" s="244" t="s">
        <v>414</v>
      </c>
      <c r="B5" s="244"/>
      <c r="C5" s="244"/>
      <c r="D5" s="244"/>
      <c r="E5" s="244"/>
      <c r="F5" s="244"/>
    </row>
    <row r="6" spans="1:7" ht="15">
      <c r="A6" s="244" t="s">
        <v>531</v>
      </c>
      <c r="B6" s="244"/>
      <c r="C6" s="244"/>
      <c r="D6" s="244"/>
      <c r="E6" s="244"/>
      <c r="F6" s="244"/>
      <c r="G6" s="41"/>
    </row>
    <row r="7" spans="1:6" ht="8.25" customHeight="1">
      <c r="A7" s="19"/>
      <c r="B7" s="19"/>
      <c r="C7" s="19"/>
      <c r="D7" s="19"/>
      <c r="E7" s="19"/>
      <c r="F7" s="19"/>
    </row>
    <row r="8" spans="1:6" ht="8.25" customHeight="1">
      <c r="A8" s="19"/>
      <c r="B8" s="19"/>
      <c r="C8" s="19"/>
      <c r="D8" s="19"/>
      <c r="E8" s="19"/>
      <c r="F8" s="19"/>
    </row>
    <row r="9" spans="1:6" ht="8.25" customHeight="1">
      <c r="A9" s="19"/>
      <c r="B9" s="19"/>
      <c r="C9" s="19"/>
      <c r="D9" s="19"/>
      <c r="E9" s="19"/>
      <c r="F9" s="19"/>
    </row>
    <row r="10" spans="1:6" ht="8.25" customHeight="1">
      <c r="A10" s="19"/>
      <c r="B10" s="19"/>
      <c r="C10" s="19"/>
      <c r="D10" s="19"/>
      <c r="E10" s="19"/>
      <c r="F10" s="19"/>
    </row>
    <row r="11" spans="1:6" ht="12.75">
      <c r="A11" s="81"/>
      <c r="B11" s="81"/>
      <c r="C11" s="234"/>
      <c r="D11" s="234"/>
      <c r="E11" s="81"/>
      <c r="F11" s="3"/>
    </row>
    <row r="12" spans="1:6" ht="12.75">
      <c r="A12" s="106" t="s">
        <v>19</v>
      </c>
      <c r="B12" s="107" t="s">
        <v>483</v>
      </c>
      <c r="C12" s="107" t="s">
        <v>484</v>
      </c>
      <c r="D12" s="107" t="s">
        <v>520</v>
      </c>
      <c r="E12" s="106" t="s">
        <v>20</v>
      </c>
      <c r="F12" s="96" t="s">
        <v>21</v>
      </c>
    </row>
    <row r="13" spans="1:6" ht="9" customHeight="1">
      <c r="A13" s="81"/>
      <c r="B13" s="81"/>
      <c r="C13" s="81"/>
      <c r="D13" s="81"/>
      <c r="E13" s="81"/>
      <c r="F13" s="3"/>
    </row>
    <row r="14" spans="2:6" ht="7.5" customHeight="1">
      <c r="B14" s="26"/>
      <c r="C14" s="26"/>
      <c r="D14" s="26"/>
      <c r="E14" s="26"/>
      <c r="F14" s="3"/>
    </row>
    <row r="15" spans="1:6" ht="19.5" customHeight="1">
      <c r="A15" s="2" t="s">
        <v>104</v>
      </c>
      <c r="B15" s="215">
        <v>2045344.59</v>
      </c>
      <c r="C15" s="203">
        <f>384904-4256.72-5309-3500-7000</f>
        <v>364838.28</v>
      </c>
      <c r="D15" s="203">
        <f>774575.22-32396.91-10000</f>
        <v>732178.3099999999</v>
      </c>
      <c r="E15" s="203">
        <f>SUM(B15:D15)</f>
        <v>3142361.18</v>
      </c>
      <c r="F15" s="158">
        <f>(E15/$E$19*100)</f>
        <v>8.911311523757611</v>
      </c>
    </row>
    <row r="16" spans="1:6" ht="19.5" customHeight="1">
      <c r="A16" s="2" t="s">
        <v>231</v>
      </c>
      <c r="B16" s="215">
        <v>4605261.19</v>
      </c>
      <c r="C16" s="203">
        <v>7350770.91</v>
      </c>
      <c r="D16" s="203">
        <v>14308518.42</v>
      </c>
      <c r="E16" s="203">
        <f>SUM(B16:D16)</f>
        <v>26264550.520000003</v>
      </c>
      <c r="F16" s="158">
        <f>(E16/$E$19*100)</f>
        <v>74.48271484667144</v>
      </c>
    </row>
    <row r="17" spans="1:6" ht="19.5" customHeight="1">
      <c r="A17" s="2" t="s">
        <v>161</v>
      </c>
      <c r="B17" s="215">
        <v>2000000</v>
      </c>
      <c r="C17" s="203">
        <v>1500000</v>
      </c>
      <c r="D17" s="203">
        <f>2200000+155700</f>
        <v>2355700</v>
      </c>
      <c r="E17" s="203">
        <f>SUM(B17:D17)</f>
        <v>5855700</v>
      </c>
      <c r="F17" s="158">
        <f>(E17/$E$19*100)</f>
        <v>16.605973629570947</v>
      </c>
    </row>
    <row r="18" spans="2:6" ht="12.75">
      <c r="B18" s="203"/>
      <c r="C18" s="157"/>
      <c r="D18" s="157"/>
      <c r="E18" s="203"/>
      <c r="F18" s="158"/>
    </row>
    <row r="19" spans="1:6" ht="13.5" thickBot="1">
      <c r="A19" s="6" t="s">
        <v>127</v>
      </c>
      <c r="B19" s="176">
        <f>SUM(B15:B17)</f>
        <v>8650605.780000001</v>
      </c>
      <c r="C19" s="176">
        <f>SUM(C15:C17)</f>
        <v>9215609.190000001</v>
      </c>
      <c r="D19" s="176">
        <f>SUM(D15:D17)</f>
        <v>17396396.73</v>
      </c>
      <c r="E19" s="176">
        <f>SUM(E15:E17)</f>
        <v>35262611.7</v>
      </c>
      <c r="F19" s="176">
        <f>SUM(F15:F17)</f>
        <v>100</v>
      </c>
    </row>
    <row r="20" ht="13.5" thickTop="1"/>
  </sheetData>
  <sheetProtection password="8451" sheet="1" objects="1" scenarios="1"/>
  <mergeCells count="6">
    <mergeCell ref="A6:F6"/>
    <mergeCell ref="E1:F1"/>
    <mergeCell ref="A3:F3"/>
    <mergeCell ref="A4:F4"/>
    <mergeCell ref="A5:F5"/>
    <mergeCell ref="E2:F2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1">
      <selection activeCell="H47" sqref="H47"/>
    </sheetView>
  </sheetViews>
  <sheetFormatPr defaultColWidth="9.140625" defaultRowHeight="12.75"/>
  <cols>
    <col min="1" max="1" width="42.57421875" style="0" customWidth="1"/>
    <col min="2" max="2" width="17.57421875" style="0" customWidth="1"/>
    <col min="3" max="3" width="12.7109375" style="0" customWidth="1"/>
    <col min="4" max="4" width="14.421875" style="0" customWidth="1"/>
    <col min="5" max="5" width="2.8515625" style="0" customWidth="1"/>
    <col min="6" max="16384" width="11.421875" style="0" customWidth="1"/>
  </cols>
  <sheetData>
    <row r="1" spans="1:5" ht="12.75">
      <c r="A1" s="2"/>
      <c r="B1" s="2"/>
      <c r="C1" s="4"/>
      <c r="D1" s="31" t="s">
        <v>18</v>
      </c>
      <c r="E1" s="2"/>
    </row>
    <row r="2" spans="1:5" ht="12.75">
      <c r="A2" s="2"/>
      <c r="B2" s="2"/>
      <c r="C2" s="4"/>
      <c r="D2" s="124" t="s">
        <v>429</v>
      </c>
      <c r="E2" s="2"/>
    </row>
    <row r="3" spans="1:5" ht="15">
      <c r="A3" s="244" t="s">
        <v>398</v>
      </c>
      <c r="B3" s="244"/>
      <c r="C3" s="244"/>
      <c r="D3" s="244"/>
      <c r="E3" s="2"/>
    </row>
    <row r="4" spans="1:5" ht="15">
      <c r="A4" s="244" t="s">
        <v>557</v>
      </c>
      <c r="B4" s="244"/>
      <c r="C4" s="244"/>
      <c r="D4" s="244"/>
      <c r="E4" s="2"/>
    </row>
    <row r="5" spans="1:5" ht="15">
      <c r="A5" s="244" t="s">
        <v>532</v>
      </c>
      <c r="B5" s="244"/>
      <c r="C5" s="244"/>
      <c r="D5" s="244"/>
      <c r="E5" s="2"/>
    </row>
    <row r="6" spans="1:5" ht="15">
      <c r="A6" s="103"/>
      <c r="B6" s="103"/>
      <c r="C6" s="103"/>
      <c r="D6" s="103"/>
      <c r="E6" s="2"/>
    </row>
    <row r="7" spans="1:5" ht="15">
      <c r="A7" s="103"/>
      <c r="B7" s="103"/>
      <c r="C7" s="103"/>
      <c r="D7" s="103"/>
      <c r="E7" s="2"/>
    </row>
    <row r="8" spans="1:5" ht="12.75">
      <c r="A8" s="19"/>
      <c r="B8" s="19"/>
      <c r="C8" s="109"/>
      <c r="D8" s="32"/>
      <c r="E8" s="2"/>
    </row>
    <row r="9" spans="1:5" ht="12.75">
      <c r="A9" s="19"/>
      <c r="B9" s="19"/>
      <c r="C9" s="3"/>
      <c r="D9" s="32"/>
      <c r="E9" s="2"/>
    </row>
    <row r="10" spans="1:5" ht="12.75">
      <c r="A10" s="96" t="s">
        <v>220</v>
      </c>
      <c r="B10" s="96" t="s">
        <v>158</v>
      </c>
      <c r="C10" s="96" t="s">
        <v>126</v>
      </c>
      <c r="D10" s="102" t="s">
        <v>20</v>
      </c>
      <c r="E10" s="2"/>
    </row>
    <row r="11" spans="1:5" ht="12.75">
      <c r="A11" s="3"/>
      <c r="B11" s="3"/>
      <c r="C11" s="3"/>
      <c r="D11" s="26"/>
      <c r="E11" s="2"/>
    </row>
    <row r="12" spans="1:5" ht="12.75">
      <c r="A12" s="3"/>
      <c r="B12" s="3"/>
      <c r="C12" s="3"/>
      <c r="D12" s="26"/>
      <c r="E12" s="2"/>
    </row>
    <row r="13" spans="1:5" ht="12.75">
      <c r="A13" s="84" t="s">
        <v>313</v>
      </c>
      <c r="B13" s="9"/>
      <c r="C13" s="85"/>
      <c r="D13" s="26"/>
      <c r="E13" s="2"/>
    </row>
    <row r="14" spans="1:5" ht="12.75">
      <c r="A14" s="59" t="s">
        <v>277</v>
      </c>
      <c r="B14" s="9"/>
      <c r="C14" s="85"/>
      <c r="D14" s="185">
        <v>214758</v>
      </c>
      <c r="E14" s="2"/>
    </row>
    <row r="15" spans="1:5" ht="12.75">
      <c r="A15" s="9" t="s">
        <v>196</v>
      </c>
      <c r="B15" s="9" t="s">
        <v>237</v>
      </c>
      <c r="C15" s="85">
        <v>65500611576</v>
      </c>
      <c r="D15" s="185">
        <v>-51130</v>
      </c>
      <c r="E15" s="14" t="s">
        <v>23</v>
      </c>
    </row>
    <row r="16" spans="1:5" ht="12.75">
      <c r="A16" s="9" t="s">
        <v>197</v>
      </c>
      <c r="B16" s="9" t="s">
        <v>237</v>
      </c>
      <c r="C16" s="85">
        <v>65501323444</v>
      </c>
      <c r="D16" s="185">
        <v>747074.85</v>
      </c>
      <c r="E16" s="14"/>
    </row>
    <row r="17" spans="1:5" ht="12.75">
      <c r="A17" s="9" t="s">
        <v>128</v>
      </c>
      <c r="B17" s="9" t="s">
        <v>237</v>
      </c>
      <c r="C17" s="85">
        <v>65500611562</v>
      </c>
      <c r="D17" s="185">
        <v>218430.83</v>
      </c>
      <c r="E17" s="14" t="s">
        <v>24</v>
      </c>
    </row>
    <row r="18" spans="1:5" ht="12.75">
      <c r="A18" s="9" t="s">
        <v>270</v>
      </c>
      <c r="B18" s="9" t="s">
        <v>237</v>
      </c>
      <c r="C18" s="85">
        <v>65501752447</v>
      </c>
      <c r="D18" s="185">
        <v>5087.06</v>
      </c>
      <c r="E18" s="2"/>
    </row>
    <row r="19" spans="1:4" ht="12.75">
      <c r="A19" s="8" t="s">
        <v>243</v>
      </c>
      <c r="B19" s="9" t="s">
        <v>237</v>
      </c>
      <c r="C19" s="85">
        <v>65501752416</v>
      </c>
      <c r="D19" s="185">
        <v>32925136.4</v>
      </c>
    </row>
    <row r="20" spans="1:4" ht="12.75">
      <c r="A20" s="8" t="s">
        <v>196</v>
      </c>
      <c r="B20" s="9" t="s">
        <v>237</v>
      </c>
      <c r="C20" s="85">
        <v>65501752433</v>
      </c>
      <c r="D20" s="185">
        <v>442453.1</v>
      </c>
    </row>
    <row r="21" spans="1:4" ht="12.75">
      <c r="A21" s="9" t="s">
        <v>271</v>
      </c>
      <c r="B21" s="9" t="s">
        <v>237</v>
      </c>
      <c r="C21" s="85">
        <v>65501761036</v>
      </c>
      <c r="D21" s="185">
        <v>1264452.43</v>
      </c>
    </row>
    <row r="22" spans="1:5" ht="12.75">
      <c r="A22" s="9" t="s">
        <v>345</v>
      </c>
      <c r="B22" s="9" t="s">
        <v>237</v>
      </c>
      <c r="C22" s="85">
        <v>65501790364</v>
      </c>
      <c r="D22" s="185">
        <v>730236.7</v>
      </c>
      <c r="E22" s="2"/>
    </row>
    <row r="23" spans="1:5" ht="12.75">
      <c r="A23" s="8" t="s">
        <v>202</v>
      </c>
      <c r="B23" s="9" t="s">
        <v>238</v>
      </c>
      <c r="C23" s="85" t="s">
        <v>131</v>
      </c>
      <c r="D23" s="185">
        <v>291767.65</v>
      </c>
      <c r="E23" s="2"/>
    </row>
    <row r="24" spans="1:5" ht="12.75">
      <c r="A24" s="8" t="s">
        <v>347</v>
      </c>
      <c r="B24" s="9" t="s">
        <v>239</v>
      </c>
      <c r="C24" s="85">
        <v>4031053267</v>
      </c>
      <c r="D24" s="185">
        <v>9993.11</v>
      </c>
      <c r="E24" s="2"/>
    </row>
    <row r="25" spans="1:5" ht="12.75">
      <c r="A25" s="8" t="s">
        <v>196</v>
      </c>
      <c r="B25" s="9" t="s">
        <v>237</v>
      </c>
      <c r="C25" s="85">
        <v>51908075257</v>
      </c>
      <c r="D25" s="185">
        <v>-2926.34</v>
      </c>
      <c r="E25" s="14" t="s">
        <v>24</v>
      </c>
    </row>
    <row r="26" spans="1:5" ht="12.75">
      <c r="A26" s="8" t="s">
        <v>196</v>
      </c>
      <c r="B26" s="9" t="s">
        <v>145</v>
      </c>
      <c r="C26" s="86" t="s">
        <v>176</v>
      </c>
      <c r="D26" s="185">
        <v>-134767</v>
      </c>
      <c r="E26" s="14" t="s">
        <v>23</v>
      </c>
    </row>
    <row r="27" spans="1:5" ht="12.75">
      <c r="A27" s="8" t="s">
        <v>244</v>
      </c>
      <c r="B27" s="9" t="s">
        <v>145</v>
      </c>
      <c r="C27" s="86" t="s">
        <v>381</v>
      </c>
      <c r="D27" s="185">
        <v>1960</v>
      </c>
      <c r="E27" s="14"/>
    </row>
    <row r="28" spans="1:5" ht="12.75">
      <c r="A28" s="8" t="s">
        <v>244</v>
      </c>
      <c r="B28" s="9" t="s">
        <v>145</v>
      </c>
      <c r="C28" s="86" t="s">
        <v>246</v>
      </c>
      <c r="D28" s="185">
        <v>4794246.82</v>
      </c>
      <c r="E28" s="2"/>
    </row>
    <row r="29" spans="1:4" ht="12.75">
      <c r="A29" s="8" t="s">
        <v>244</v>
      </c>
      <c r="B29" s="9" t="s">
        <v>145</v>
      </c>
      <c r="C29" s="86" t="s">
        <v>269</v>
      </c>
      <c r="D29" s="185">
        <v>2484227.43</v>
      </c>
    </row>
    <row r="30" spans="1:5" ht="12.75">
      <c r="A30" s="8" t="s">
        <v>243</v>
      </c>
      <c r="B30" s="9" t="s">
        <v>145</v>
      </c>
      <c r="C30" s="86" t="s">
        <v>303</v>
      </c>
      <c r="D30" s="185">
        <v>1497853.98</v>
      </c>
      <c r="E30" s="14"/>
    </row>
    <row r="31" spans="1:5" ht="12.75">
      <c r="A31" s="8" t="s">
        <v>362</v>
      </c>
      <c r="B31" s="9" t="s">
        <v>237</v>
      </c>
      <c r="C31" s="85">
        <v>65501896472</v>
      </c>
      <c r="D31" s="185">
        <v>138970.21</v>
      </c>
      <c r="E31" s="2"/>
    </row>
    <row r="32" spans="1:5" ht="12.75">
      <c r="A32" s="9" t="s">
        <v>370</v>
      </c>
      <c r="B32" s="9" t="s">
        <v>237</v>
      </c>
      <c r="C32" s="85">
        <v>65501928095</v>
      </c>
      <c r="D32" s="185">
        <v>29973304.52</v>
      </c>
      <c r="E32" s="2"/>
    </row>
    <row r="33" spans="1:5" ht="12.75">
      <c r="A33" s="2"/>
      <c r="B33" s="2"/>
      <c r="C33" s="4"/>
      <c r="D33" s="115"/>
      <c r="E33" s="2"/>
    </row>
    <row r="34" spans="1:5" ht="12.75">
      <c r="A34" s="6" t="s">
        <v>177</v>
      </c>
      <c r="B34" s="2"/>
      <c r="C34" s="4"/>
      <c r="D34" s="188">
        <f>SUM(D14:D33)</f>
        <v>75551129.75</v>
      </c>
      <c r="E34" s="2"/>
    </row>
    <row r="35" spans="1:5" ht="12.75">
      <c r="A35" s="2"/>
      <c r="B35" s="2"/>
      <c r="C35" s="4"/>
      <c r="D35" s="115"/>
      <c r="E35" s="2"/>
    </row>
    <row r="36" spans="1:5" ht="12.75">
      <c r="A36" s="10" t="s">
        <v>219</v>
      </c>
      <c r="B36" s="2"/>
      <c r="C36" s="4"/>
      <c r="D36" s="115"/>
      <c r="E36" s="2"/>
    </row>
    <row r="37" spans="1:5" ht="12.75">
      <c r="A37" s="2"/>
      <c r="B37" s="2"/>
      <c r="C37" s="4"/>
      <c r="D37" s="115"/>
      <c r="E37" s="2"/>
    </row>
    <row r="38" spans="1:5" ht="12.75">
      <c r="A38" s="9" t="s">
        <v>203</v>
      </c>
      <c r="B38" s="9" t="s">
        <v>237</v>
      </c>
      <c r="C38" s="86" t="s">
        <v>317</v>
      </c>
      <c r="D38" s="185">
        <v>23292317.55</v>
      </c>
      <c r="E38" s="2"/>
    </row>
    <row r="39" spans="1:5" ht="12.75">
      <c r="A39" s="9" t="s">
        <v>516</v>
      </c>
      <c r="B39" s="9" t="s">
        <v>237</v>
      </c>
      <c r="C39" s="85">
        <v>66501928095</v>
      </c>
      <c r="D39" s="185">
        <v>41201557.54</v>
      </c>
      <c r="E39" s="2"/>
    </row>
    <row r="40" spans="1:5" ht="12.75">
      <c r="A40" s="9" t="s">
        <v>480</v>
      </c>
      <c r="B40" s="9" t="s">
        <v>479</v>
      </c>
      <c r="C40" s="86" t="s">
        <v>481</v>
      </c>
      <c r="D40" s="185">
        <v>1631201.02</v>
      </c>
      <c r="E40" s="2"/>
    </row>
    <row r="41" spans="1:5" ht="12.75">
      <c r="A41" s="2"/>
      <c r="B41" s="2"/>
      <c r="C41" s="4"/>
      <c r="D41" s="115"/>
      <c r="E41" s="2"/>
    </row>
    <row r="42" spans="1:5" ht="12.75">
      <c r="A42" s="6" t="s">
        <v>205</v>
      </c>
      <c r="B42" s="2"/>
      <c r="C42" s="4"/>
      <c r="D42" s="212">
        <f>SUM(D38:D41)</f>
        <v>66125076.11000001</v>
      </c>
      <c r="E42" s="2"/>
    </row>
    <row r="43" spans="1:5" ht="12.75">
      <c r="A43" s="2"/>
      <c r="B43" s="2"/>
      <c r="C43" s="4"/>
      <c r="D43" s="31" t="s">
        <v>18</v>
      </c>
      <c r="E43" s="2"/>
    </row>
    <row r="44" spans="1:5" ht="12.75">
      <c r="A44" s="2"/>
      <c r="B44" s="2"/>
      <c r="C44" s="4"/>
      <c r="D44" s="124" t="s">
        <v>430</v>
      </c>
      <c r="E44" s="2"/>
    </row>
    <row r="45" spans="1:5" ht="15">
      <c r="A45" s="244" t="s">
        <v>398</v>
      </c>
      <c r="B45" s="244"/>
      <c r="C45" s="244"/>
      <c r="D45" s="244"/>
      <c r="E45" s="2"/>
    </row>
    <row r="46" spans="1:5" ht="15">
      <c r="A46" s="244" t="s">
        <v>557</v>
      </c>
      <c r="B46" s="244"/>
      <c r="C46" s="244"/>
      <c r="D46" s="244"/>
      <c r="E46" s="2"/>
    </row>
    <row r="47" spans="1:5" ht="15">
      <c r="A47" s="244" t="s">
        <v>532</v>
      </c>
      <c r="B47" s="244"/>
      <c r="C47" s="244"/>
      <c r="D47" s="244"/>
      <c r="E47" s="2"/>
    </row>
    <row r="48" spans="1:5" ht="15">
      <c r="A48" s="103"/>
      <c r="B48" s="103"/>
      <c r="C48" s="103"/>
      <c r="D48" s="103"/>
      <c r="E48" s="2"/>
    </row>
    <row r="49" spans="1:5" ht="15">
      <c r="A49" s="103"/>
      <c r="B49" s="103"/>
      <c r="C49" s="103"/>
      <c r="D49" s="103"/>
      <c r="E49" s="2"/>
    </row>
    <row r="50" spans="1:5" ht="12.75">
      <c r="A50" s="19"/>
      <c r="B50" s="19"/>
      <c r="C50" s="109"/>
      <c r="D50" s="32"/>
      <c r="E50" s="2"/>
    </row>
    <row r="51" spans="1:5" ht="12.75">
      <c r="A51" s="19"/>
      <c r="B51" s="19"/>
      <c r="C51" s="3"/>
      <c r="D51" s="32"/>
      <c r="E51" s="2"/>
    </row>
    <row r="52" spans="1:5" ht="12.75">
      <c r="A52" s="96" t="s">
        <v>220</v>
      </c>
      <c r="B52" s="96" t="s">
        <v>158</v>
      </c>
      <c r="C52" s="96" t="s">
        <v>126</v>
      </c>
      <c r="D52" s="102" t="s">
        <v>20</v>
      </c>
      <c r="E52" s="2"/>
    </row>
    <row r="53" spans="1:5" ht="12.75">
      <c r="A53" s="3"/>
      <c r="B53" s="3"/>
      <c r="C53" s="3"/>
      <c r="D53" s="26"/>
      <c r="E53" s="2"/>
    </row>
    <row r="54" spans="1:5" ht="12.75">
      <c r="A54" s="3"/>
      <c r="B54" s="3"/>
      <c r="C54" s="3"/>
      <c r="D54" s="26"/>
      <c r="E54" s="2"/>
    </row>
    <row r="55" spans="1:5" ht="12.75">
      <c r="A55" s="10" t="s">
        <v>206</v>
      </c>
      <c r="B55" s="2"/>
      <c r="C55" s="4"/>
      <c r="D55" s="25"/>
      <c r="E55" s="2"/>
    </row>
    <row r="56" spans="1:4" ht="12.75">
      <c r="A56" s="2"/>
      <c r="B56" s="2"/>
      <c r="C56" s="4"/>
      <c r="D56" s="25"/>
    </row>
    <row r="57" spans="1:5" ht="12.75">
      <c r="A57" s="8" t="s">
        <v>204</v>
      </c>
      <c r="B57" s="9" t="s">
        <v>237</v>
      </c>
      <c r="C57" s="85" t="s">
        <v>129</v>
      </c>
      <c r="D57" s="185">
        <v>15113.91</v>
      </c>
      <c r="E57" s="14" t="s">
        <v>27</v>
      </c>
    </row>
    <row r="58" spans="1:5" ht="12.75">
      <c r="A58" s="8" t="s">
        <v>207</v>
      </c>
      <c r="B58" s="9" t="s">
        <v>237</v>
      </c>
      <c r="C58" s="85" t="s">
        <v>130</v>
      </c>
      <c r="D58" s="185">
        <v>720086.77</v>
      </c>
      <c r="E58" s="14" t="s">
        <v>314</v>
      </c>
    </row>
    <row r="59" spans="1:5" ht="12.75">
      <c r="A59" s="9" t="s">
        <v>133</v>
      </c>
      <c r="B59" s="9" t="s">
        <v>237</v>
      </c>
      <c r="C59" s="85" t="s">
        <v>134</v>
      </c>
      <c r="D59" s="185">
        <f>19108589.96-9589.45</f>
        <v>19099000.51</v>
      </c>
      <c r="E59" s="2"/>
    </row>
    <row r="60" spans="1:5" ht="12.75">
      <c r="A60" s="9" t="s">
        <v>94</v>
      </c>
      <c r="B60" s="9" t="s">
        <v>240</v>
      </c>
      <c r="C60" s="85" t="s">
        <v>132</v>
      </c>
      <c r="D60" s="185">
        <v>2067.5</v>
      </c>
      <c r="E60" s="2"/>
    </row>
    <row r="61" spans="1:5" ht="12.75">
      <c r="A61" s="9" t="s">
        <v>198</v>
      </c>
      <c r="B61" s="9" t="s">
        <v>241</v>
      </c>
      <c r="C61" s="85" t="s">
        <v>136</v>
      </c>
      <c r="D61" s="185">
        <v>2266491.32</v>
      </c>
      <c r="E61" s="2"/>
    </row>
    <row r="62" spans="1:5" ht="12.75">
      <c r="A62" s="9" t="s">
        <v>147</v>
      </c>
      <c r="B62" s="9" t="s">
        <v>237</v>
      </c>
      <c r="C62" s="85" t="s">
        <v>146</v>
      </c>
      <c r="D62" s="185">
        <v>1308308.72</v>
      </c>
      <c r="E62" s="2"/>
    </row>
    <row r="63" spans="1:5" ht="12.75">
      <c r="A63" s="9" t="s">
        <v>467</v>
      </c>
      <c r="B63" s="9" t="s">
        <v>237</v>
      </c>
      <c r="C63" s="85" t="s">
        <v>466</v>
      </c>
      <c r="D63" s="185">
        <v>9772</v>
      </c>
      <c r="E63" s="2"/>
    </row>
    <row r="64" spans="1:4" ht="12.75">
      <c r="A64" s="9" t="s">
        <v>346</v>
      </c>
      <c r="B64" s="9" t="s">
        <v>237</v>
      </c>
      <c r="C64" s="85" t="s">
        <v>348</v>
      </c>
      <c r="D64" s="185">
        <v>11999.34</v>
      </c>
    </row>
    <row r="65" spans="1:5" ht="12.75">
      <c r="A65" s="9" t="s">
        <v>304</v>
      </c>
      <c r="B65" s="9" t="s">
        <v>237</v>
      </c>
      <c r="C65" s="85">
        <v>82500274581</v>
      </c>
      <c r="D65" s="185">
        <v>372736.31</v>
      </c>
      <c r="E65" s="14" t="s">
        <v>315</v>
      </c>
    </row>
    <row r="66" spans="1:5" ht="12.75">
      <c r="A66" s="9" t="s">
        <v>306</v>
      </c>
      <c r="B66" s="9" t="s">
        <v>237</v>
      </c>
      <c r="C66" s="85" t="s">
        <v>305</v>
      </c>
      <c r="D66" s="185">
        <v>2600725.75</v>
      </c>
      <c r="E66" s="2"/>
    </row>
    <row r="67" spans="1:5" ht="12.75">
      <c r="A67" s="9" t="s">
        <v>199</v>
      </c>
      <c r="B67" s="9" t="s">
        <v>237</v>
      </c>
      <c r="C67" s="85" t="s">
        <v>135</v>
      </c>
      <c r="D67" s="185">
        <v>1262026.4</v>
      </c>
      <c r="E67" s="2"/>
    </row>
    <row r="68" spans="1:5" ht="12.75">
      <c r="A68" s="9" t="s">
        <v>358</v>
      </c>
      <c r="B68" s="9" t="s">
        <v>237</v>
      </c>
      <c r="C68" s="85" t="s">
        <v>359</v>
      </c>
      <c r="D68" s="185">
        <v>45883792.12</v>
      </c>
      <c r="E68" s="2"/>
    </row>
    <row r="69" spans="1:5" ht="12.75">
      <c r="A69" s="9" t="s">
        <v>356</v>
      </c>
      <c r="B69" s="9" t="s">
        <v>237</v>
      </c>
      <c r="C69" s="85" t="s">
        <v>360</v>
      </c>
      <c r="D69" s="185">
        <v>2574962.18</v>
      </c>
      <c r="E69" s="2"/>
    </row>
    <row r="70" spans="1:5" ht="12.75">
      <c r="A70" s="9" t="s">
        <v>384</v>
      </c>
      <c r="B70" s="9" t="s">
        <v>237</v>
      </c>
      <c r="C70" s="85" t="s">
        <v>385</v>
      </c>
      <c r="D70" s="185">
        <v>255083.08</v>
      </c>
      <c r="E70" s="2"/>
    </row>
    <row r="71" spans="1:5" ht="12.75">
      <c r="A71" s="9" t="s">
        <v>491</v>
      </c>
      <c r="B71" s="9" t="s">
        <v>237</v>
      </c>
      <c r="C71" s="85" t="s">
        <v>495</v>
      </c>
      <c r="D71" s="185">
        <v>4529916.74</v>
      </c>
      <c r="E71" s="2"/>
    </row>
    <row r="72" spans="1:5" ht="12.75">
      <c r="A72" s="2"/>
      <c r="B72" s="2"/>
      <c r="C72" s="2"/>
      <c r="D72" s="115"/>
      <c r="E72" s="2"/>
    </row>
    <row r="73" spans="1:5" ht="12.75">
      <c r="A73" s="10" t="s">
        <v>208</v>
      </c>
      <c r="B73" s="2"/>
      <c r="C73" s="4"/>
      <c r="D73" s="212">
        <f>SUM(D57:D72)</f>
        <v>80912082.64999999</v>
      </c>
      <c r="E73" s="2"/>
    </row>
    <row r="74" spans="1:5" ht="12.75">
      <c r="A74" s="6"/>
      <c r="B74" s="6"/>
      <c r="C74" s="85"/>
      <c r="D74" s="216"/>
      <c r="E74" s="2"/>
    </row>
    <row r="75" spans="1:5" ht="13.5" thickBot="1">
      <c r="A75" s="6" t="s">
        <v>137</v>
      </c>
      <c r="B75" s="9"/>
      <c r="C75" s="12" t="s">
        <v>138</v>
      </c>
      <c r="D75" s="200">
        <f>SUM(D34+D42+D73)</f>
        <v>222588288.51</v>
      </c>
      <c r="E75" s="2"/>
    </row>
    <row r="76" spans="1:5" ht="13.5" thickTop="1">
      <c r="A76" s="6"/>
      <c r="B76" s="9"/>
      <c r="C76" s="12"/>
      <c r="D76" s="38"/>
      <c r="E76" s="2"/>
    </row>
    <row r="77" spans="1:5" ht="12.75">
      <c r="A77" s="6"/>
      <c r="B77" s="9"/>
      <c r="C77" s="12"/>
      <c r="D77" s="38"/>
      <c r="E77" s="2"/>
    </row>
    <row r="78" spans="1:5" ht="12.75">
      <c r="A78" s="6"/>
      <c r="B78" s="9"/>
      <c r="C78" s="12"/>
      <c r="D78" s="38"/>
      <c r="E78" s="2"/>
    </row>
    <row r="79" spans="1:5" ht="12.75">
      <c r="A79" s="6"/>
      <c r="B79" s="9"/>
      <c r="C79" s="12"/>
      <c r="D79" s="38"/>
      <c r="E79" s="2"/>
    </row>
    <row r="80" spans="1:5" ht="12.75">
      <c r="A80" s="6"/>
      <c r="B80" s="9"/>
      <c r="C80" s="12"/>
      <c r="D80" s="38"/>
      <c r="E80" s="2"/>
    </row>
    <row r="81" spans="1:5" ht="12.75">
      <c r="A81" s="10" t="s">
        <v>29</v>
      </c>
      <c r="B81" s="9"/>
      <c r="C81" s="12"/>
      <c r="D81" s="38"/>
      <c r="E81" s="2"/>
    </row>
    <row r="82" ht="12.75">
      <c r="A82" s="2"/>
    </row>
    <row r="83" ht="12.75">
      <c r="A83" s="21" t="s">
        <v>363</v>
      </c>
    </row>
    <row r="84" ht="12.75">
      <c r="A84" s="21" t="s">
        <v>364</v>
      </c>
    </row>
    <row r="85" ht="12.75">
      <c r="A85" s="21" t="s">
        <v>544</v>
      </c>
    </row>
    <row r="86" ht="12.75">
      <c r="A86" s="21" t="s">
        <v>545</v>
      </c>
    </row>
    <row r="87" ht="12.75">
      <c r="A87" s="21" t="s">
        <v>546</v>
      </c>
    </row>
    <row r="88" ht="12.75">
      <c r="A88" s="21"/>
    </row>
  </sheetData>
  <sheetProtection password="8451" sheet="1" objects="1" scenarios="1"/>
  <mergeCells count="6">
    <mergeCell ref="A46:D46"/>
    <mergeCell ref="A47:D47"/>
    <mergeCell ref="A3:D3"/>
    <mergeCell ref="A4:D4"/>
    <mergeCell ref="A5:D5"/>
    <mergeCell ref="A45:D45"/>
  </mergeCells>
  <printOptions/>
  <pageMargins left="0.96" right="0.35" top="0.58" bottom="0.7874015748031497" header="0" footer="0"/>
  <pageSetup horizontalDpi="600" verticalDpi="600" orientation="portrait" scale="9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64"/>
  <sheetViews>
    <sheetView workbookViewId="0" topLeftCell="A1">
      <selection activeCell="I57" activeCellId="1" sqref="I43 I57"/>
    </sheetView>
  </sheetViews>
  <sheetFormatPr defaultColWidth="9.140625" defaultRowHeight="12.75"/>
  <cols>
    <col min="1" max="1" width="31.421875" style="2" customWidth="1"/>
    <col min="2" max="5" width="15.00390625" style="2" customWidth="1"/>
    <col min="6" max="6" width="13.00390625" style="2" bestFit="1" customWidth="1"/>
    <col min="7" max="7" width="2.8515625" style="2" customWidth="1"/>
    <col min="8" max="8" width="4.7109375" style="2" customWidth="1"/>
    <col min="9" max="16384" width="11.421875" style="2" customWidth="1"/>
  </cols>
  <sheetData>
    <row r="3" spans="5:6" ht="12.75" customHeight="1">
      <c r="E3" s="245" t="s">
        <v>3</v>
      </c>
      <c r="F3" s="245"/>
    </row>
    <row r="4" spans="1:6" ht="13.5" customHeight="1">
      <c r="A4" s="244" t="s">
        <v>398</v>
      </c>
      <c r="B4" s="244"/>
      <c r="C4" s="244"/>
      <c r="D4" s="244"/>
      <c r="E4" s="244"/>
      <c r="F4" s="244"/>
    </row>
    <row r="5" spans="1:6" ht="13.5" customHeight="1">
      <c r="A5" s="246" t="s">
        <v>557</v>
      </c>
      <c r="B5" s="246"/>
      <c r="C5" s="246"/>
      <c r="D5" s="246"/>
      <c r="E5" s="246"/>
      <c r="F5" s="246"/>
    </row>
    <row r="6" spans="1:6" ht="13.5" customHeight="1">
      <c r="A6" s="244" t="s">
        <v>399</v>
      </c>
      <c r="B6" s="244"/>
      <c r="C6" s="244"/>
      <c r="D6" s="244"/>
      <c r="E6" s="244"/>
      <c r="F6" s="244"/>
    </row>
    <row r="7" spans="1:6" ht="13.5" customHeight="1">
      <c r="A7" s="244" t="s">
        <v>531</v>
      </c>
      <c r="B7" s="244"/>
      <c r="C7" s="244"/>
      <c r="D7" s="244"/>
      <c r="E7" s="244"/>
      <c r="F7" s="244"/>
    </row>
    <row r="8" spans="1:6" ht="6" customHeight="1">
      <c r="A8" s="19"/>
      <c r="B8" s="19"/>
      <c r="C8" s="19"/>
      <c r="D8" s="19"/>
      <c r="E8" s="19"/>
      <c r="F8" s="19"/>
    </row>
    <row r="9" spans="1:6" ht="13.5" customHeight="1">
      <c r="A9" s="81"/>
      <c r="B9" s="81"/>
      <c r="C9" s="234"/>
      <c r="D9" s="234"/>
      <c r="E9" s="81"/>
      <c r="F9" s="3"/>
    </row>
    <row r="10" spans="1:6" ht="18" customHeight="1">
      <c r="A10" s="106" t="s">
        <v>19</v>
      </c>
      <c r="B10" s="107" t="s">
        <v>483</v>
      </c>
      <c r="C10" s="107" t="s">
        <v>484</v>
      </c>
      <c r="D10" s="107" t="s">
        <v>520</v>
      </c>
      <c r="E10" s="106" t="s">
        <v>20</v>
      </c>
      <c r="F10" s="96" t="s">
        <v>21</v>
      </c>
    </row>
    <row r="11" spans="1:6" ht="12.75">
      <c r="A11" s="81"/>
      <c r="B11" s="81"/>
      <c r="C11" s="81"/>
      <c r="D11" s="81"/>
      <c r="E11" s="81"/>
      <c r="F11" s="3"/>
    </row>
    <row r="12" ht="6" customHeight="1"/>
    <row r="13" spans="1:8" ht="12.75">
      <c r="A13" s="2" t="s">
        <v>22</v>
      </c>
      <c r="B13" s="151">
        <v>142614540</v>
      </c>
      <c r="C13" s="152">
        <v>141114008</v>
      </c>
      <c r="D13" s="152">
        <v>141114008</v>
      </c>
      <c r="E13" s="151">
        <f>SUM(B13:D13)</f>
        <v>424842556</v>
      </c>
      <c r="F13" s="153">
        <f>E13/E24*100</f>
        <v>64.58872724218432</v>
      </c>
      <c r="G13" s="11" t="s">
        <v>23</v>
      </c>
      <c r="H13" s="11"/>
    </row>
    <row r="14" spans="1:8" ht="12.75">
      <c r="A14" s="2" t="s">
        <v>424</v>
      </c>
      <c r="B14" s="151">
        <v>2923240.2</v>
      </c>
      <c r="C14" s="152"/>
      <c r="D14" s="152"/>
      <c r="E14" s="151">
        <f>SUM(B14:D14)</f>
        <v>2923240.2</v>
      </c>
      <c r="F14" s="153">
        <f>E14/E24*100</f>
        <v>0.4444196121002255</v>
      </c>
      <c r="G14" s="11" t="s">
        <v>24</v>
      </c>
      <c r="H14" s="11"/>
    </row>
    <row r="15" spans="1:8" ht="12.75">
      <c r="A15" s="2" t="s">
        <v>543</v>
      </c>
      <c r="B15" s="151"/>
      <c r="C15" s="152"/>
      <c r="D15" s="152">
        <v>115000000</v>
      </c>
      <c r="E15" s="151">
        <f>SUM(B15:D15)</f>
        <v>115000000</v>
      </c>
      <c r="F15" s="153">
        <f>E15/E24*100</f>
        <v>17.483426572857724</v>
      </c>
      <c r="G15" s="11" t="s">
        <v>27</v>
      </c>
      <c r="H15" s="11"/>
    </row>
    <row r="16" spans="2:8" ht="6.75" customHeight="1">
      <c r="B16" s="154"/>
      <c r="C16" s="155"/>
      <c r="D16" s="155"/>
      <c r="E16" s="154"/>
      <c r="F16" s="156"/>
      <c r="H16" s="17"/>
    </row>
    <row r="17" spans="1:8" ht="12.75">
      <c r="A17" s="101" t="s">
        <v>25</v>
      </c>
      <c r="B17" s="155">
        <f>SUM(B13:B15)</f>
        <v>145537780.2</v>
      </c>
      <c r="C17" s="155">
        <f>SUM(C13:C15)</f>
        <v>141114008</v>
      </c>
      <c r="D17" s="155">
        <f>SUM(D13:D15)</f>
        <v>256114008</v>
      </c>
      <c r="E17" s="155">
        <f>SUM(E13:E15)</f>
        <v>542765796.2</v>
      </c>
      <c r="F17" s="155">
        <f>SUM(F13:F15)</f>
        <v>82.51657342714226</v>
      </c>
      <c r="H17" s="17"/>
    </row>
    <row r="18" spans="2:8" ht="6" customHeight="1">
      <c r="B18" s="152"/>
      <c r="C18" s="152"/>
      <c r="D18" s="152"/>
      <c r="E18" s="157"/>
      <c r="F18" s="158"/>
      <c r="H18" s="17"/>
    </row>
    <row r="19" spans="1:8" ht="12.75">
      <c r="A19" s="8" t="s">
        <v>26</v>
      </c>
      <c r="B19" s="152">
        <v>30000000</v>
      </c>
      <c r="C19" s="152">
        <v>30000000</v>
      </c>
      <c r="D19" s="152">
        <v>30000000</v>
      </c>
      <c r="E19" s="157">
        <f>SUM(B19:D19)</f>
        <v>90000000</v>
      </c>
      <c r="F19" s="158">
        <f>E19/E24*100</f>
        <v>13.68268166571474</v>
      </c>
      <c r="G19" s="11" t="s">
        <v>314</v>
      </c>
      <c r="H19" s="11"/>
    </row>
    <row r="20" spans="1:8" ht="12.75">
      <c r="A20" s="8" t="s">
        <v>547</v>
      </c>
      <c r="B20" s="152"/>
      <c r="C20" s="152"/>
      <c r="D20" s="152">
        <v>25000000</v>
      </c>
      <c r="E20" s="157">
        <f>SUM(B20:D20)</f>
        <v>25000000</v>
      </c>
      <c r="F20" s="158">
        <f>E20/E24*100</f>
        <v>3.800744907142984</v>
      </c>
      <c r="G20" s="11" t="s">
        <v>315</v>
      </c>
      <c r="H20" s="11"/>
    </row>
    <row r="21" spans="1:7" ht="6.75" customHeight="1">
      <c r="A21" s="8"/>
      <c r="B21" s="155"/>
      <c r="C21" s="155"/>
      <c r="D21" s="155"/>
      <c r="E21" s="154"/>
      <c r="F21" s="156"/>
      <c r="G21" s="11"/>
    </row>
    <row r="22" spans="1:7" ht="12.75">
      <c r="A22" s="101" t="s">
        <v>28</v>
      </c>
      <c r="B22" s="152">
        <f>SUM(B19:B21)</f>
        <v>30000000</v>
      </c>
      <c r="C22" s="152">
        <f>SUM(C19:C21)</f>
        <v>30000000</v>
      </c>
      <c r="D22" s="152">
        <f>SUM(D19:D21)</f>
        <v>55000000</v>
      </c>
      <c r="E22" s="152">
        <f>SUM(E19:E21)</f>
        <v>115000000</v>
      </c>
      <c r="F22" s="152">
        <f>SUM(F19:F21)</f>
        <v>17.483426572857724</v>
      </c>
      <c r="G22" s="17"/>
    </row>
    <row r="23" spans="1:6" ht="6.75" customHeight="1">
      <c r="A23" s="8"/>
      <c r="B23" s="152"/>
      <c r="C23" s="152"/>
      <c r="D23" s="152"/>
      <c r="E23" s="157"/>
      <c r="F23" s="158"/>
    </row>
    <row r="24" spans="1:6" ht="13.5" thickBot="1">
      <c r="A24" s="101" t="s">
        <v>210</v>
      </c>
      <c r="B24" s="159">
        <f>B17+B22</f>
        <v>175537780.2</v>
      </c>
      <c r="C24" s="159">
        <f>C17+C22</f>
        <v>171114008</v>
      </c>
      <c r="D24" s="159">
        <f>D17+D22</f>
        <v>311114008</v>
      </c>
      <c r="E24" s="159">
        <f>E17+E22</f>
        <v>657765796.2</v>
      </c>
      <c r="F24" s="160">
        <f>F17+F22</f>
        <v>99.99999999999999</v>
      </c>
    </row>
    <row r="25" spans="1:6" ht="6.75" customHeight="1" thickTop="1">
      <c r="A25" s="6"/>
      <c r="B25" s="161"/>
      <c r="C25" s="161"/>
      <c r="D25" s="161"/>
      <c r="E25" s="161"/>
      <c r="F25" s="161"/>
    </row>
    <row r="26" spans="1:6" ht="12.75" customHeight="1">
      <c r="A26" s="6"/>
      <c r="B26" s="161"/>
      <c r="C26" s="161"/>
      <c r="D26" s="161"/>
      <c r="E26" s="161"/>
      <c r="F26" s="161"/>
    </row>
    <row r="27" spans="1:6" ht="12.75" customHeight="1">
      <c r="A27" s="6"/>
      <c r="B27" s="16"/>
      <c r="C27" s="16"/>
      <c r="D27" s="16"/>
      <c r="E27" s="16"/>
      <c r="F27" s="16"/>
    </row>
    <row r="28" spans="1:6" ht="12.75" customHeight="1">
      <c r="A28" s="6"/>
      <c r="B28" s="16"/>
      <c r="C28" s="16"/>
      <c r="D28" s="16"/>
      <c r="E28" s="16"/>
      <c r="F28" s="16"/>
    </row>
    <row r="29" spans="1:6" ht="12.75" customHeight="1">
      <c r="A29" s="6"/>
      <c r="B29" s="16"/>
      <c r="C29" s="16"/>
      <c r="D29" s="16"/>
      <c r="E29" s="16"/>
      <c r="F29" s="16"/>
    </row>
    <row r="30" spans="1:6" ht="12.75" customHeight="1">
      <c r="A30" s="6"/>
      <c r="B30" s="16"/>
      <c r="C30" s="16"/>
      <c r="D30" s="16"/>
      <c r="E30" s="16"/>
      <c r="F30" s="16"/>
    </row>
    <row r="31" spans="1:7" ht="13.5" customHeight="1">
      <c r="A31" s="91"/>
      <c r="B31" s="22"/>
      <c r="C31" s="22"/>
      <c r="D31" s="22"/>
      <c r="E31" s="22"/>
      <c r="F31" s="22"/>
      <c r="G31" s="22"/>
    </row>
    <row r="32" spans="1:7" ht="13.5" customHeight="1">
      <c r="A32" s="11"/>
      <c r="B32" s="22"/>
      <c r="C32" s="22"/>
      <c r="D32" s="22"/>
      <c r="E32" s="22"/>
      <c r="F32" s="182"/>
      <c r="G32" s="22"/>
    </row>
    <row r="33" spans="1:7" ht="13.5" customHeight="1">
      <c r="A33" s="11"/>
      <c r="B33" s="92"/>
      <c r="C33" s="92"/>
      <c r="D33" s="92"/>
      <c r="E33" s="92"/>
      <c r="F33" s="183"/>
      <c r="G33" s="22"/>
    </row>
    <row r="34" spans="1:7" ht="13.5" customHeight="1">
      <c r="A34" s="11"/>
      <c r="B34" s="92"/>
      <c r="C34" s="92"/>
      <c r="D34" s="92"/>
      <c r="E34" s="92"/>
      <c r="F34" s="183"/>
      <c r="G34" s="22"/>
    </row>
    <row r="35" spans="1:7" ht="12.75" customHeight="1">
      <c r="A35" s="11"/>
      <c r="B35" s="92"/>
      <c r="C35" s="92"/>
      <c r="D35" s="92"/>
      <c r="E35" s="92"/>
      <c r="F35" s="183"/>
      <c r="G35" s="92"/>
    </row>
    <row r="36" spans="1:7" ht="12.75" customHeight="1">
      <c r="A36" s="11"/>
      <c r="B36" s="92"/>
      <c r="C36" s="92"/>
      <c r="D36" s="92"/>
      <c r="E36" s="92"/>
      <c r="F36" s="183"/>
      <c r="G36" s="92"/>
    </row>
    <row r="37" spans="1:7" ht="12.75" customHeight="1">
      <c r="A37" s="11"/>
      <c r="B37" s="92"/>
      <c r="C37" s="92"/>
      <c r="D37" s="92"/>
      <c r="E37" s="92"/>
      <c r="F37" s="183"/>
      <c r="G37" s="92"/>
    </row>
    <row r="38" spans="1:7" ht="12.75" customHeight="1">
      <c r="A38" s="11"/>
      <c r="B38" s="92"/>
      <c r="C38" s="92"/>
      <c r="D38" s="92"/>
      <c r="E38" s="92"/>
      <c r="F38" s="183"/>
      <c r="G38" s="92"/>
    </row>
    <row r="39" spans="1:7" ht="12.75" customHeight="1">
      <c r="A39" s="11"/>
      <c r="B39" s="92"/>
      <c r="C39" s="92"/>
      <c r="D39" s="92"/>
      <c r="E39" s="92"/>
      <c r="F39" s="183"/>
      <c r="G39" s="92"/>
    </row>
    <row r="40" spans="1:7" ht="12.75" customHeight="1">
      <c r="A40" s="11"/>
      <c r="B40" s="92"/>
      <c r="C40" s="92"/>
      <c r="D40" s="92"/>
      <c r="E40" s="92"/>
      <c r="F40" s="183"/>
      <c r="G40" s="92"/>
    </row>
    <row r="41" spans="1:7" ht="6" customHeight="1">
      <c r="A41" s="92"/>
      <c r="B41" s="92"/>
      <c r="C41" s="92"/>
      <c r="D41" s="92"/>
      <c r="E41" s="92"/>
      <c r="F41" s="183"/>
      <c r="G41" s="92"/>
    </row>
    <row r="42" spans="1:7" ht="12.75" customHeight="1">
      <c r="A42" s="11"/>
      <c r="B42" s="92"/>
      <c r="C42" s="92"/>
      <c r="D42" s="92"/>
      <c r="E42" s="92"/>
      <c r="F42" s="183"/>
      <c r="G42" s="92"/>
    </row>
    <row r="43" spans="1:7" ht="6" customHeight="1">
      <c r="A43" s="92"/>
      <c r="B43" s="92"/>
      <c r="C43" s="92"/>
      <c r="D43" s="92"/>
      <c r="E43" s="92"/>
      <c r="F43" s="183"/>
      <c r="G43" s="92"/>
    </row>
    <row r="44" spans="1:7" ht="12.75" customHeight="1">
      <c r="A44" s="11"/>
      <c r="B44" s="92"/>
      <c r="C44" s="92"/>
      <c r="D44" s="92"/>
      <c r="E44" s="92"/>
      <c r="F44" s="183"/>
      <c r="G44" s="92"/>
    </row>
    <row r="45" spans="1:7" ht="12.75" customHeight="1">
      <c r="A45" s="11"/>
      <c r="B45" s="92"/>
      <c r="C45" s="92"/>
      <c r="D45" s="92"/>
      <c r="E45" s="92"/>
      <c r="F45" s="183"/>
      <c r="G45" s="92"/>
    </row>
    <row r="46" spans="2:7" ht="6" customHeight="1">
      <c r="B46" s="92"/>
      <c r="C46" s="92"/>
      <c r="D46" s="92"/>
      <c r="E46" s="92"/>
      <c r="F46" s="183"/>
      <c r="G46" s="92"/>
    </row>
    <row r="47" spans="1:7" ht="12.75" customHeight="1">
      <c r="A47" s="11"/>
      <c r="B47" s="11"/>
      <c r="C47" s="11"/>
      <c r="D47" s="11"/>
      <c r="E47" s="11"/>
      <c r="F47" s="183"/>
      <c r="G47" s="11"/>
    </row>
    <row r="48" spans="1:7" ht="12.75" customHeight="1">
      <c r="A48" s="11"/>
      <c r="B48" s="11"/>
      <c r="C48" s="11"/>
      <c r="D48" s="11"/>
      <c r="E48" s="11"/>
      <c r="F48" s="183"/>
      <c r="G48" s="11"/>
    </row>
    <row r="49" spans="1:7" ht="12.75" customHeight="1">
      <c r="A49" s="11"/>
      <c r="B49" s="11"/>
      <c r="C49" s="11"/>
      <c r="D49" s="11"/>
      <c r="E49" s="11"/>
      <c r="F49" s="183"/>
      <c r="G49" s="11"/>
    </row>
    <row r="50" spans="1:7" ht="6" customHeight="1">
      <c r="A50" s="92"/>
      <c r="B50" s="92"/>
      <c r="C50" s="92"/>
      <c r="D50" s="92"/>
      <c r="E50" s="92"/>
      <c r="F50" s="19"/>
      <c r="G50" s="92"/>
    </row>
    <row r="51" spans="1:7" ht="12.75" customHeight="1">
      <c r="A51" s="11"/>
      <c r="B51" s="92"/>
      <c r="C51" s="92"/>
      <c r="D51" s="92"/>
      <c r="E51" s="92"/>
      <c r="F51" s="183"/>
      <c r="G51" s="92"/>
    </row>
    <row r="52" spans="2:7" ht="12.75" customHeight="1">
      <c r="B52" s="92"/>
      <c r="C52" s="92"/>
      <c r="D52" s="92"/>
      <c r="E52" s="92"/>
      <c r="G52" s="92"/>
    </row>
    <row r="53" spans="1:7" ht="12.75" customHeight="1">
      <c r="A53" s="13"/>
      <c r="B53" s="92"/>
      <c r="C53" s="92"/>
      <c r="D53" s="92"/>
      <c r="E53" s="92"/>
      <c r="F53" s="19"/>
      <c r="G53" s="92"/>
    </row>
    <row r="54" spans="1:7" ht="12.75" customHeight="1">
      <c r="A54" s="11"/>
      <c r="B54" s="92"/>
      <c r="C54" s="92"/>
      <c r="D54" s="92"/>
      <c r="E54" s="92"/>
      <c r="F54" s="183"/>
      <c r="G54" s="92"/>
    </row>
    <row r="55" spans="1:7" ht="12.75">
      <c r="A55" s="13"/>
      <c r="B55" s="13"/>
      <c r="C55" s="13"/>
      <c r="D55" s="13"/>
      <c r="E55" s="13"/>
      <c r="F55" s="241"/>
      <c r="G55" s="13"/>
    </row>
    <row r="56" spans="1:7" ht="12.75">
      <c r="A56" s="13"/>
      <c r="B56" s="13"/>
      <c r="C56" s="13"/>
      <c r="D56" s="13"/>
      <c r="E56" s="13"/>
      <c r="F56" s="140"/>
      <c r="G56" s="13"/>
    </row>
    <row r="57" ht="12.75">
      <c r="F57" s="140"/>
    </row>
    <row r="58" ht="12.75">
      <c r="F58" s="140"/>
    </row>
    <row r="59" ht="12.75">
      <c r="F59" s="140"/>
    </row>
    <row r="60" ht="12.75">
      <c r="F60" s="140"/>
    </row>
    <row r="61" ht="12.75">
      <c r="F61" s="140"/>
    </row>
    <row r="62" ht="12.75">
      <c r="F62" s="140"/>
    </row>
    <row r="63" ht="12.75">
      <c r="F63" s="140"/>
    </row>
    <row r="64" ht="12.75">
      <c r="F64" s="140"/>
    </row>
  </sheetData>
  <sheetProtection password="8451" sheet="1" objects="1" scenarios="1"/>
  <mergeCells count="5">
    <mergeCell ref="A7:F7"/>
    <mergeCell ref="E3:F3"/>
    <mergeCell ref="A4:F4"/>
    <mergeCell ref="A5:F5"/>
    <mergeCell ref="A6:F6"/>
  </mergeCells>
  <printOptions/>
  <pageMargins left="0.96" right="0.35" top="0.58" bottom="0.7874015748031497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I57" activeCellId="1" sqref="I43 I57"/>
    </sheetView>
  </sheetViews>
  <sheetFormatPr defaultColWidth="9.140625" defaultRowHeight="12.75"/>
  <cols>
    <col min="1" max="1" width="15.7109375" style="2" customWidth="1"/>
    <col min="2" max="2" width="11.7109375" style="25" bestFit="1" customWidth="1"/>
    <col min="3" max="3" width="10.140625" style="25" bestFit="1" customWidth="1"/>
    <col min="4" max="4" width="14.00390625" style="25" bestFit="1" customWidth="1"/>
    <col min="5" max="5" width="10.8515625" style="25" bestFit="1" customWidth="1"/>
    <col min="6" max="6" width="14.00390625" style="25" bestFit="1" customWidth="1"/>
    <col min="7" max="7" width="11.7109375" style="25" bestFit="1" customWidth="1"/>
    <col min="8" max="16384" width="11.421875" style="2" customWidth="1"/>
  </cols>
  <sheetData>
    <row r="1" ht="12.75">
      <c r="G1" s="31" t="s">
        <v>30</v>
      </c>
    </row>
    <row r="2" spans="1:7" ht="15">
      <c r="A2" s="244" t="s">
        <v>398</v>
      </c>
      <c r="B2" s="244"/>
      <c r="C2" s="244"/>
      <c r="D2" s="244"/>
      <c r="E2" s="244"/>
      <c r="F2" s="244"/>
      <c r="G2" s="244"/>
    </row>
    <row r="3" spans="1:7" ht="15">
      <c r="A3" s="244" t="s">
        <v>558</v>
      </c>
      <c r="B3" s="244"/>
      <c r="C3" s="244"/>
      <c r="D3" s="244"/>
      <c r="E3" s="244"/>
      <c r="F3" s="244"/>
      <c r="G3" s="244"/>
    </row>
    <row r="4" spans="1:7" ht="15">
      <c r="A4" s="244" t="s">
        <v>400</v>
      </c>
      <c r="B4" s="244"/>
      <c r="C4" s="244"/>
      <c r="D4" s="244"/>
      <c r="E4" s="244"/>
      <c r="F4" s="244"/>
      <c r="G4" s="244"/>
    </row>
    <row r="5" spans="1:8" ht="15">
      <c r="A5" s="244" t="s">
        <v>531</v>
      </c>
      <c r="B5" s="244"/>
      <c r="C5" s="244"/>
      <c r="D5" s="244"/>
      <c r="E5" s="244"/>
      <c r="F5" s="244"/>
      <c r="G5" s="244"/>
      <c r="H5" s="41"/>
    </row>
    <row r="6" spans="1:8" ht="15">
      <c r="A6" s="103"/>
      <c r="B6" s="103"/>
      <c r="C6" s="103"/>
      <c r="D6" s="103"/>
      <c r="E6" s="103"/>
      <c r="F6" s="103"/>
      <c r="G6" s="103"/>
      <c r="H6" s="41"/>
    </row>
    <row r="7" spans="1:7" ht="22.5" customHeight="1">
      <c r="A7" s="19"/>
      <c r="B7" s="32"/>
      <c r="C7" s="32"/>
      <c r="D7" s="32"/>
      <c r="E7" s="32"/>
      <c r="F7" s="32"/>
      <c r="G7" s="32"/>
    </row>
    <row r="8" spans="1:7" ht="12.75">
      <c r="A8" s="3" t="s">
        <v>31</v>
      </c>
      <c r="B8" s="26" t="s">
        <v>32</v>
      </c>
      <c r="C8" s="26" t="s">
        <v>32</v>
      </c>
      <c r="D8" s="26" t="s">
        <v>32</v>
      </c>
      <c r="E8" s="26" t="s">
        <v>33</v>
      </c>
      <c r="F8" s="26" t="s">
        <v>33</v>
      </c>
      <c r="G8" s="26"/>
    </row>
    <row r="9" spans="1:7" ht="12.75">
      <c r="A9" s="3" t="s">
        <v>34</v>
      </c>
      <c r="B9" s="26" t="s">
        <v>179</v>
      </c>
      <c r="C9" s="26" t="s">
        <v>179</v>
      </c>
      <c r="D9" s="26" t="s">
        <v>179</v>
      </c>
      <c r="E9" s="26" t="s">
        <v>181</v>
      </c>
      <c r="F9" s="26" t="s">
        <v>181</v>
      </c>
      <c r="G9" s="26" t="s">
        <v>20</v>
      </c>
    </row>
    <row r="10" spans="1:7" ht="12.75">
      <c r="A10" s="96" t="s">
        <v>178</v>
      </c>
      <c r="B10" s="102" t="s">
        <v>180</v>
      </c>
      <c r="C10" s="102" t="s">
        <v>420</v>
      </c>
      <c r="D10" s="102" t="s">
        <v>542</v>
      </c>
      <c r="E10" s="102" t="s">
        <v>180</v>
      </c>
      <c r="F10" s="102" t="s">
        <v>420</v>
      </c>
      <c r="G10" s="102" t="s">
        <v>182</v>
      </c>
    </row>
    <row r="11" spans="1:7" ht="12.75">
      <c r="A11" s="3"/>
      <c r="B11" s="26"/>
      <c r="C11" s="26"/>
      <c r="D11" s="26"/>
      <c r="E11" s="26"/>
      <c r="F11" s="26"/>
      <c r="G11" s="26"/>
    </row>
    <row r="12" spans="1:8" ht="12.75">
      <c r="A12" s="4" t="s">
        <v>497</v>
      </c>
      <c r="B12" s="157">
        <v>116802331</v>
      </c>
      <c r="C12" s="157"/>
      <c r="D12" s="157"/>
      <c r="E12" s="157"/>
      <c r="F12" s="157"/>
      <c r="G12" s="157">
        <f>SUM(B12:F12)</f>
        <v>116802331</v>
      </c>
      <c r="H12" s="115"/>
    </row>
    <row r="13" spans="1:8" ht="12.75">
      <c r="A13" s="4" t="s">
        <v>498</v>
      </c>
      <c r="B13" s="157">
        <v>11130209</v>
      </c>
      <c r="E13" s="157"/>
      <c r="F13" s="157"/>
      <c r="G13" s="157">
        <f>SUM(B13:F13)</f>
        <v>11130209</v>
      </c>
      <c r="H13" s="115"/>
    </row>
    <row r="14" spans="1:8" ht="12.75">
      <c r="A14" s="4" t="s">
        <v>498</v>
      </c>
      <c r="B14" s="157">
        <v>14682000</v>
      </c>
      <c r="E14" s="157"/>
      <c r="F14" s="157"/>
      <c r="G14" s="157">
        <f>SUM(B14:F14)</f>
        <v>14682000</v>
      </c>
      <c r="H14" s="115"/>
    </row>
    <row r="15" spans="1:8" ht="12.75">
      <c r="A15" s="4" t="s">
        <v>499</v>
      </c>
      <c r="B15" s="157"/>
      <c r="E15" s="157">
        <v>30000000</v>
      </c>
      <c r="F15" s="157"/>
      <c r="G15" s="157">
        <f>SUM(B15:F15)</f>
        <v>30000000</v>
      </c>
      <c r="H15" s="115"/>
    </row>
    <row r="16" spans="1:8" ht="12.75">
      <c r="A16" s="4" t="s">
        <v>496</v>
      </c>
      <c r="B16" s="157"/>
      <c r="C16" s="157">
        <v>2923240.2</v>
      </c>
      <c r="D16" s="157"/>
      <c r="E16" s="157"/>
      <c r="F16" s="157"/>
      <c r="G16" s="157">
        <f>SUM(B16:F16)</f>
        <v>2923240.2</v>
      </c>
      <c r="H16" s="115"/>
    </row>
    <row r="17" spans="1:8" ht="12.75">
      <c r="A17" s="4"/>
      <c r="B17" s="151"/>
      <c r="C17" s="151"/>
      <c r="D17" s="151"/>
      <c r="E17" s="151"/>
      <c r="F17" s="151"/>
      <c r="G17" s="157"/>
      <c r="H17" s="115"/>
    </row>
    <row r="18" spans="1:8" ht="6" customHeight="1">
      <c r="A18" s="4"/>
      <c r="B18" s="162"/>
      <c r="C18" s="162"/>
      <c r="D18" s="162"/>
      <c r="E18" s="162"/>
      <c r="F18" s="162"/>
      <c r="G18" s="162"/>
      <c r="H18" s="115"/>
    </row>
    <row r="19" spans="1:8" ht="12.75">
      <c r="A19" s="5" t="s">
        <v>486</v>
      </c>
      <c r="B19" s="163">
        <f aca="true" t="shared" si="0" ref="B19:G19">SUM(B12:B16)</f>
        <v>142614540</v>
      </c>
      <c r="C19" s="163">
        <f t="shared" si="0"/>
        <v>2923240.2</v>
      </c>
      <c r="D19" s="163">
        <f t="shared" si="0"/>
        <v>0</v>
      </c>
      <c r="E19" s="163">
        <f t="shared" si="0"/>
        <v>30000000</v>
      </c>
      <c r="F19" s="163">
        <f t="shared" si="0"/>
        <v>0</v>
      </c>
      <c r="G19" s="163">
        <f t="shared" si="0"/>
        <v>175537780.2</v>
      </c>
      <c r="H19" s="115"/>
    </row>
    <row r="20" spans="2:8" ht="12.75">
      <c r="B20" s="157"/>
      <c r="C20" s="157"/>
      <c r="D20" s="157"/>
      <c r="E20" s="157"/>
      <c r="F20" s="157"/>
      <c r="G20" s="157"/>
      <c r="H20" s="115"/>
    </row>
    <row r="21" spans="1:8" ht="12.75">
      <c r="A21" s="4" t="s">
        <v>517</v>
      </c>
      <c r="B21" s="157">
        <v>115301799</v>
      </c>
      <c r="C21" s="157"/>
      <c r="D21" s="157"/>
      <c r="E21" s="157"/>
      <c r="F21" s="157"/>
      <c r="G21" s="157">
        <f>SUM(B21:F21)</f>
        <v>115301799</v>
      </c>
      <c r="H21" s="115"/>
    </row>
    <row r="22" spans="1:8" ht="12.75">
      <c r="A22" s="4" t="s">
        <v>487</v>
      </c>
      <c r="B22" s="157">
        <v>11130209</v>
      </c>
      <c r="E22" s="157"/>
      <c r="F22" s="157"/>
      <c r="G22" s="157">
        <f>SUM(B22:F22)</f>
        <v>11130209</v>
      </c>
      <c r="H22" s="115"/>
    </row>
    <row r="23" spans="1:8" ht="12.75">
      <c r="A23" s="4" t="s">
        <v>487</v>
      </c>
      <c r="B23" s="157">
        <v>14682000</v>
      </c>
      <c r="E23" s="157"/>
      <c r="F23" s="157"/>
      <c r="G23" s="157">
        <f>SUM(B23:F23)</f>
        <v>14682000</v>
      </c>
      <c r="H23" s="115"/>
    </row>
    <row r="24" spans="1:8" ht="12.75">
      <c r="A24" s="4" t="s">
        <v>488</v>
      </c>
      <c r="B24" s="157"/>
      <c r="C24" s="157"/>
      <c r="D24" s="157"/>
      <c r="E24" s="157">
        <v>30000000</v>
      </c>
      <c r="F24" s="157"/>
      <c r="G24" s="157">
        <f>SUM(B24:F24)</f>
        <v>30000000</v>
      </c>
      <c r="H24" s="115"/>
    </row>
    <row r="25" spans="1:8" ht="12.75">
      <c r="A25" s="4"/>
      <c r="B25" s="154"/>
      <c r="C25" s="154"/>
      <c r="D25" s="154"/>
      <c r="E25" s="154"/>
      <c r="F25" s="154"/>
      <c r="G25" s="154"/>
      <c r="H25" s="115"/>
    </row>
    <row r="26" spans="1:8" ht="6" customHeight="1">
      <c r="A26" s="4"/>
      <c r="B26" s="157"/>
      <c r="C26" s="157"/>
      <c r="D26" s="157"/>
      <c r="E26" s="157"/>
      <c r="F26" s="157"/>
      <c r="G26" s="157"/>
      <c r="H26" s="115"/>
    </row>
    <row r="27" spans="1:8" ht="12.75" customHeight="1">
      <c r="A27" s="5" t="s">
        <v>489</v>
      </c>
      <c r="B27" s="163">
        <f aca="true" t="shared" si="1" ref="B27:G27">SUM(B21:B24)</f>
        <v>141114008</v>
      </c>
      <c r="C27" s="163">
        <f t="shared" si="1"/>
        <v>0</v>
      </c>
      <c r="D27" s="163">
        <f t="shared" si="1"/>
        <v>0</v>
      </c>
      <c r="E27" s="163">
        <f t="shared" si="1"/>
        <v>30000000</v>
      </c>
      <c r="F27" s="163">
        <f t="shared" si="1"/>
        <v>0</v>
      </c>
      <c r="G27" s="163">
        <f t="shared" si="1"/>
        <v>171114008</v>
      </c>
      <c r="H27" s="115"/>
    </row>
    <row r="28" spans="1:8" ht="12.75" customHeight="1">
      <c r="A28" s="5"/>
      <c r="B28" s="184"/>
      <c r="C28" s="184"/>
      <c r="D28" s="184"/>
      <c r="E28" s="184"/>
      <c r="F28" s="184"/>
      <c r="G28" s="184"/>
      <c r="H28" s="115"/>
    </row>
    <row r="29" spans="1:8" ht="12.75">
      <c r="A29" s="4" t="s">
        <v>539</v>
      </c>
      <c r="C29" s="157"/>
      <c r="D29" s="157">
        <v>70000000</v>
      </c>
      <c r="E29" s="157"/>
      <c r="F29" s="157"/>
      <c r="G29" s="157">
        <f>SUM(C29:F29)</f>
        <v>70000000</v>
      </c>
      <c r="H29" s="115"/>
    </row>
    <row r="30" spans="1:8" ht="12.75">
      <c r="A30" s="4" t="s">
        <v>539</v>
      </c>
      <c r="B30" s="157">
        <v>115301799</v>
      </c>
      <c r="C30" s="157"/>
      <c r="D30" s="157"/>
      <c r="E30" s="157"/>
      <c r="F30" s="157"/>
      <c r="G30" s="157">
        <f aca="true" t="shared" si="2" ref="G30:G35">SUM(B30:F30)</f>
        <v>115301799</v>
      </c>
      <c r="H30" s="115"/>
    </row>
    <row r="31" spans="1:8" ht="12.75">
      <c r="A31" s="4" t="s">
        <v>528</v>
      </c>
      <c r="B31" s="157">
        <v>11130209</v>
      </c>
      <c r="C31" s="157"/>
      <c r="D31" s="157"/>
      <c r="E31" s="157"/>
      <c r="F31" s="157"/>
      <c r="G31" s="157">
        <f t="shared" si="2"/>
        <v>11130209</v>
      </c>
      <c r="H31" s="115"/>
    </row>
    <row r="32" spans="1:7" ht="12.75">
      <c r="A32" s="4" t="s">
        <v>528</v>
      </c>
      <c r="B32" s="157">
        <v>14682000</v>
      </c>
      <c r="C32" s="157"/>
      <c r="D32" s="157"/>
      <c r="E32" s="157"/>
      <c r="F32" s="157"/>
      <c r="G32" s="157">
        <f t="shared" si="2"/>
        <v>14682000</v>
      </c>
    </row>
    <row r="33" spans="1:7" ht="12.75">
      <c r="A33" s="4" t="s">
        <v>528</v>
      </c>
      <c r="C33" s="157"/>
      <c r="D33" s="157">
        <v>45000000</v>
      </c>
      <c r="E33" s="157"/>
      <c r="F33" s="157"/>
      <c r="G33" s="157">
        <f>SUM(C33:F33)</f>
        <v>45000000</v>
      </c>
    </row>
    <row r="34" spans="1:7" ht="12.75">
      <c r="A34" s="4" t="s">
        <v>540</v>
      </c>
      <c r="B34" s="157"/>
      <c r="C34" s="157"/>
      <c r="D34" s="157"/>
      <c r="E34" s="157">
        <v>30000000</v>
      </c>
      <c r="F34" s="157"/>
      <c r="G34" s="157">
        <f t="shared" si="2"/>
        <v>30000000</v>
      </c>
    </row>
    <row r="35" spans="1:7" ht="12.75">
      <c r="A35" s="4" t="s">
        <v>541</v>
      </c>
      <c r="B35" s="157"/>
      <c r="C35" s="157"/>
      <c r="D35" s="157"/>
      <c r="E35" s="157"/>
      <c r="F35" s="157">
        <v>25000000</v>
      </c>
      <c r="G35" s="157">
        <f t="shared" si="2"/>
        <v>25000000</v>
      </c>
    </row>
    <row r="36" spans="1:7" ht="12.75">
      <c r="A36" s="4"/>
      <c r="B36" s="154"/>
      <c r="C36" s="154"/>
      <c r="D36" s="154"/>
      <c r="E36" s="154"/>
      <c r="F36" s="154"/>
      <c r="G36" s="154"/>
    </row>
    <row r="37" spans="1:7" ht="6" customHeight="1">
      <c r="A37" s="4"/>
      <c r="B37" s="157"/>
      <c r="C37" s="157"/>
      <c r="D37" s="157"/>
      <c r="E37" s="157"/>
      <c r="F37" s="157"/>
      <c r="G37" s="157"/>
    </row>
    <row r="38" spans="1:7" ht="12.75">
      <c r="A38" s="5" t="s">
        <v>529</v>
      </c>
      <c r="B38" s="163">
        <f aca="true" t="shared" si="3" ref="B38:G38">SUM(B29:B36)</f>
        <v>141114008</v>
      </c>
      <c r="C38" s="163">
        <f t="shared" si="3"/>
        <v>0</v>
      </c>
      <c r="D38" s="163">
        <f t="shared" si="3"/>
        <v>115000000</v>
      </c>
      <c r="E38" s="163">
        <f t="shared" si="3"/>
        <v>30000000</v>
      </c>
      <c r="F38" s="163">
        <f t="shared" si="3"/>
        <v>25000000</v>
      </c>
      <c r="G38" s="163">
        <f t="shared" si="3"/>
        <v>311114008</v>
      </c>
    </row>
    <row r="40" spans="1:7" ht="13.5" thickBot="1">
      <c r="A40" s="6" t="s">
        <v>20</v>
      </c>
      <c r="B40" s="239">
        <f aca="true" t="shared" si="4" ref="B40:G40">SUM(B19+B27+B38)</f>
        <v>424842556</v>
      </c>
      <c r="C40" s="239">
        <f t="shared" si="4"/>
        <v>2923240.2</v>
      </c>
      <c r="D40" s="239">
        <f t="shared" si="4"/>
        <v>115000000</v>
      </c>
      <c r="E40" s="239">
        <f t="shared" si="4"/>
        <v>90000000</v>
      </c>
      <c r="F40" s="239">
        <f t="shared" si="4"/>
        <v>25000000</v>
      </c>
      <c r="G40" s="239">
        <f t="shared" si="4"/>
        <v>657765796.2</v>
      </c>
    </row>
    <row r="41" ht="13.5" thickTop="1"/>
  </sheetData>
  <sheetProtection password="8451" sheet="1" objects="1" scenarios="1"/>
  <mergeCells count="4">
    <mergeCell ref="A2:G2"/>
    <mergeCell ref="A3:G3"/>
    <mergeCell ref="A4:G4"/>
    <mergeCell ref="A5:G5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6">
      <selection activeCell="I57" activeCellId="1" sqref="I43 I57"/>
    </sheetView>
  </sheetViews>
  <sheetFormatPr defaultColWidth="9.140625" defaultRowHeight="12.75"/>
  <cols>
    <col min="1" max="1" width="33.8515625" style="2" customWidth="1"/>
    <col min="2" max="3" width="10.8515625" style="25" bestFit="1" customWidth="1"/>
    <col min="4" max="4" width="10.8515625" style="25" customWidth="1"/>
    <col min="5" max="5" width="13.57421875" style="25" customWidth="1"/>
    <col min="6" max="6" width="6.57421875" style="2" customWidth="1"/>
    <col min="7" max="7" width="2.140625" style="2" customWidth="1"/>
    <col min="8" max="8" width="12.7109375" style="2" bestFit="1" customWidth="1"/>
    <col min="9" max="16384" width="11.421875" style="2" customWidth="1"/>
  </cols>
  <sheetData>
    <row r="1" spans="1:6" ht="12.75">
      <c r="A1" s="104"/>
      <c r="B1" s="105"/>
      <c r="C1" s="105"/>
      <c r="D1" s="105"/>
      <c r="E1" s="247" t="s">
        <v>5</v>
      </c>
      <c r="F1" s="247"/>
    </row>
    <row r="2" spans="1:6" ht="15">
      <c r="A2" s="244" t="s">
        <v>398</v>
      </c>
      <c r="B2" s="244"/>
      <c r="C2" s="244"/>
      <c r="D2" s="244"/>
      <c r="E2" s="244"/>
      <c r="F2" s="244"/>
    </row>
    <row r="3" spans="1:6" ht="15">
      <c r="A3" s="246" t="s">
        <v>557</v>
      </c>
      <c r="B3" s="246"/>
      <c r="C3" s="246"/>
      <c r="D3" s="246"/>
      <c r="E3" s="246"/>
      <c r="F3" s="246"/>
    </row>
    <row r="4" spans="1:6" ht="15">
      <c r="A4" s="244" t="s">
        <v>401</v>
      </c>
      <c r="B4" s="244"/>
      <c r="C4" s="244"/>
      <c r="D4" s="244"/>
      <c r="E4" s="244"/>
      <c r="F4" s="244"/>
    </row>
    <row r="5" spans="1:6" ht="15">
      <c r="A5" s="244" t="s">
        <v>531</v>
      </c>
      <c r="B5" s="244"/>
      <c r="C5" s="244"/>
      <c r="D5" s="244"/>
      <c r="E5" s="244"/>
      <c r="F5" s="244"/>
    </row>
    <row r="6" spans="1:6" ht="12.75">
      <c r="A6" s="81"/>
      <c r="B6" s="81"/>
      <c r="C6" s="81"/>
      <c r="D6" s="81"/>
      <c r="E6" s="81"/>
      <c r="F6" s="3"/>
    </row>
    <row r="7" spans="1:6" ht="12.75">
      <c r="A7" s="106" t="s">
        <v>19</v>
      </c>
      <c r="B7" s="107" t="s">
        <v>483</v>
      </c>
      <c r="C7" s="107" t="s">
        <v>484</v>
      </c>
      <c r="D7" s="107" t="s">
        <v>520</v>
      </c>
      <c r="E7" s="106" t="s">
        <v>20</v>
      </c>
      <c r="F7" s="96" t="s">
        <v>21</v>
      </c>
    </row>
    <row r="8" spans="1:6" ht="12.75">
      <c r="A8" s="81"/>
      <c r="B8" s="81"/>
      <c r="C8" s="81"/>
      <c r="D8" s="81"/>
      <c r="E8" s="81"/>
      <c r="F8" s="3"/>
    </row>
    <row r="9" spans="1:6" ht="6" customHeight="1">
      <c r="A9" s="3"/>
      <c r="B9" s="26"/>
      <c r="C9" s="26"/>
      <c r="D9" s="26"/>
      <c r="E9" s="26"/>
      <c r="F9" s="3"/>
    </row>
    <row r="10" spans="1:6" ht="12.75">
      <c r="A10" s="9" t="s">
        <v>35</v>
      </c>
      <c r="B10" s="157">
        <v>376270</v>
      </c>
      <c r="C10" s="152">
        <v>145980</v>
      </c>
      <c r="D10" s="152">
        <v>574288</v>
      </c>
      <c r="E10" s="152">
        <f aca="true" t="shared" si="0" ref="E10:E33">SUM(B10:D10)</f>
        <v>1096538</v>
      </c>
      <c r="F10" s="158">
        <f aca="true" t="shared" si="1" ref="F10:F33">(E10/$E$52*100)</f>
        <v>3.3062053833491216</v>
      </c>
    </row>
    <row r="11" spans="1:6" ht="12.75">
      <c r="A11" s="9" t="s">
        <v>36</v>
      </c>
      <c r="B11" s="152">
        <v>1500</v>
      </c>
      <c r="C11" s="157">
        <v>5928935</v>
      </c>
      <c r="D11" s="157">
        <v>1878720</v>
      </c>
      <c r="E11" s="152">
        <f t="shared" si="0"/>
        <v>7809155</v>
      </c>
      <c r="F11" s="158">
        <f t="shared" si="1"/>
        <v>23.545622951879196</v>
      </c>
    </row>
    <row r="12" spans="1:6" ht="12.75">
      <c r="A12" s="9" t="s">
        <v>37</v>
      </c>
      <c r="B12" s="152">
        <v>3043451</v>
      </c>
      <c r="C12" s="157">
        <v>3021371</v>
      </c>
      <c r="D12" s="157">
        <v>2059334</v>
      </c>
      <c r="E12" s="152">
        <f t="shared" si="0"/>
        <v>8124156</v>
      </c>
      <c r="F12" s="158">
        <f t="shared" si="1"/>
        <v>24.49539213631271</v>
      </c>
    </row>
    <row r="13" spans="1:6" ht="12.75">
      <c r="A13" s="9" t="s">
        <v>38</v>
      </c>
      <c r="B13" s="152">
        <v>22383</v>
      </c>
      <c r="C13" s="152">
        <v>72830</v>
      </c>
      <c r="D13" s="152">
        <v>12062</v>
      </c>
      <c r="E13" s="152">
        <f t="shared" si="0"/>
        <v>107275</v>
      </c>
      <c r="F13" s="158">
        <f t="shared" si="1"/>
        <v>0.32344814543479294</v>
      </c>
    </row>
    <row r="14" spans="1:6" ht="12.75">
      <c r="A14" s="9" t="s">
        <v>39</v>
      </c>
      <c r="B14" s="152">
        <v>8886</v>
      </c>
      <c r="C14" s="152">
        <v>19040</v>
      </c>
      <c r="D14" s="152">
        <v>5724</v>
      </c>
      <c r="E14" s="152">
        <f t="shared" si="0"/>
        <v>33650</v>
      </c>
      <c r="F14" s="158">
        <f t="shared" si="1"/>
        <v>0.10145914792711054</v>
      </c>
    </row>
    <row r="15" spans="1:6" ht="12.75">
      <c r="A15" s="9" t="s">
        <v>40</v>
      </c>
      <c r="B15" s="152">
        <v>88559</v>
      </c>
      <c r="C15" s="152">
        <v>179811</v>
      </c>
      <c r="D15" s="152">
        <v>100948</v>
      </c>
      <c r="E15" s="152">
        <f t="shared" si="0"/>
        <v>369318</v>
      </c>
      <c r="F15" s="158">
        <f t="shared" si="1"/>
        <v>1.113542038458978</v>
      </c>
    </row>
    <row r="16" spans="1:6" ht="12.75">
      <c r="A16" s="8" t="s">
        <v>41</v>
      </c>
      <c r="B16" s="152">
        <f>117275+20154</f>
        <v>137429</v>
      </c>
      <c r="C16" s="152">
        <f>1391004+13617</f>
        <v>1404621</v>
      </c>
      <c r="D16" s="152">
        <f>762051+2775</f>
        <v>764826</v>
      </c>
      <c r="E16" s="152">
        <f t="shared" si="0"/>
        <v>2306876</v>
      </c>
      <c r="F16" s="158">
        <f t="shared" si="1"/>
        <v>6.955532639925738</v>
      </c>
    </row>
    <row r="17" spans="1:6" ht="12.75">
      <c r="A17" s="8" t="s">
        <v>211</v>
      </c>
      <c r="B17" s="152">
        <f>290887+79002</f>
        <v>369889</v>
      </c>
      <c r="C17" s="157">
        <f>141702+46398</f>
        <v>188100</v>
      </c>
      <c r="D17" s="157">
        <f>193328+25080</f>
        <v>218408</v>
      </c>
      <c r="E17" s="152">
        <f t="shared" si="0"/>
        <v>776397</v>
      </c>
      <c r="F17" s="158">
        <f t="shared" si="1"/>
        <v>2.3409384271371425</v>
      </c>
    </row>
    <row r="18" spans="1:6" ht="12.75">
      <c r="A18" s="8" t="s">
        <v>42</v>
      </c>
      <c r="B18" s="152">
        <f>376</f>
        <v>376</v>
      </c>
      <c r="C18" s="157"/>
      <c r="D18" s="157">
        <f>564+21432</f>
        <v>21996</v>
      </c>
      <c r="E18" s="152">
        <f t="shared" si="0"/>
        <v>22372</v>
      </c>
      <c r="F18" s="158">
        <f t="shared" si="1"/>
        <v>0.06745450393537346</v>
      </c>
    </row>
    <row r="19" spans="1:6" ht="12.75">
      <c r="A19" s="8" t="s">
        <v>43</v>
      </c>
      <c r="B19" s="152">
        <f>48445+12883</f>
        <v>61328</v>
      </c>
      <c r="C19" s="152">
        <f>24819+6831</f>
        <v>31650</v>
      </c>
      <c r="D19" s="152">
        <f>61801+4681</f>
        <v>66482</v>
      </c>
      <c r="E19" s="152">
        <f t="shared" si="0"/>
        <v>159460</v>
      </c>
      <c r="F19" s="158">
        <f t="shared" si="1"/>
        <v>0.4807927408159598</v>
      </c>
    </row>
    <row r="20" spans="1:6" ht="12.75">
      <c r="A20" s="9" t="s">
        <v>44</v>
      </c>
      <c r="B20" s="152">
        <f>51+188039+46984</f>
        <v>235074</v>
      </c>
      <c r="C20" s="157">
        <f>70105+19463</f>
        <v>89568</v>
      </c>
      <c r="D20" s="157">
        <f>305518+133633</f>
        <v>439151</v>
      </c>
      <c r="E20" s="152">
        <f t="shared" si="0"/>
        <v>763793</v>
      </c>
      <c r="F20" s="158">
        <f t="shared" si="1"/>
        <v>2.302935719842245</v>
      </c>
    </row>
    <row r="21" spans="1:6" ht="12.75">
      <c r="A21" s="9" t="s">
        <v>45</v>
      </c>
      <c r="B21" s="152">
        <f>9855+2934</f>
        <v>12789</v>
      </c>
      <c r="C21" s="157">
        <f>4889+1012</f>
        <v>5901</v>
      </c>
      <c r="D21" s="157">
        <f>12441+8359</f>
        <v>20800</v>
      </c>
      <c r="E21" s="152">
        <f t="shared" si="0"/>
        <v>39490</v>
      </c>
      <c r="F21" s="158">
        <f t="shared" si="1"/>
        <v>0.11906751119291517</v>
      </c>
    </row>
    <row r="22" spans="1:6" ht="12.75">
      <c r="A22" s="9" t="s">
        <v>46</v>
      </c>
      <c r="B22" s="152">
        <f>9931+2787</f>
        <v>12718</v>
      </c>
      <c r="C22" s="157">
        <f>4502+2598</f>
        <v>7100</v>
      </c>
      <c r="D22" s="157">
        <f>11503+629</f>
        <v>12132</v>
      </c>
      <c r="E22" s="152">
        <f t="shared" si="0"/>
        <v>31950</v>
      </c>
      <c r="F22" s="158">
        <f t="shared" si="1"/>
        <v>0.09633342574357152</v>
      </c>
    </row>
    <row r="23" spans="1:6" ht="12.75">
      <c r="A23" s="9" t="s">
        <v>212</v>
      </c>
      <c r="B23" s="152">
        <f>189416+57428</f>
        <v>246844</v>
      </c>
      <c r="C23" s="157">
        <f>99188+32497</f>
        <v>131685</v>
      </c>
      <c r="D23" s="157">
        <f>129428+16800</f>
        <v>146228</v>
      </c>
      <c r="E23" s="152">
        <f t="shared" si="0"/>
        <v>524757</v>
      </c>
      <c r="F23" s="158">
        <f t="shared" si="1"/>
        <v>1.58221093874552</v>
      </c>
    </row>
    <row r="24" spans="1:6" ht="12.75">
      <c r="A24" s="9" t="s">
        <v>432</v>
      </c>
      <c r="B24" s="152">
        <v>16000</v>
      </c>
      <c r="C24" s="157"/>
      <c r="D24" s="157">
        <v>2800</v>
      </c>
      <c r="E24" s="152">
        <f t="shared" si="0"/>
        <v>18800</v>
      </c>
      <c r="F24" s="158">
        <f t="shared" si="1"/>
        <v>0.05668445708854913</v>
      </c>
    </row>
    <row r="25" spans="1:6" ht="12.75">
      <c r="A25" s="9" t="s">
        <v>47</v>
      </c>
      <c r="B25" s="152">
        <v>18534</v>
      </c>
      <c r="C25" s="157">
        <v>7602</v>
      </c>
      <c r="D25" s="157">
        <v>12963</v>
      </c>
      <c r="E25" s="152">
        <f t="shared" si="0"/>
        <v>39099</v>
      </c>
      <c r="F25" s="158">
        <f t="shared" si="1"/>
        <v>0.1178885950907012</v>
      </c>
    </row>
    <row r="26" spans="1:6" ht="12.75">
      <c r="A26" s="9" t="s">
        <v>307</v>
      </c>
      <c r="B26" s="152">
        <v>271928.86</v>
      </c>
      <c r="C26" s="157">
        <v>97670.34</v>
      </c>
      <c r="D26" s="157">
        <v>224769.9</v>
      </c>
      <c r="E26" s="152">
        <f t="shared" si="0"/>
        <v>594369.1</v>
      </c>
      <c r="F26" s="158">
        <f t="shared" si="1"/>
        <v>1.7921005182824234</v>
      </c>
    </row>
    <row r="27" spans="1:6" ht="12.75">
      <c r="A27" s="9" t="s">
        <v>419</v>
      </c>
      <c r="B27" s="152">
        <v>103.5</v>
      </c>
      <c r="C27" s="157"/>
      <c r="D27" s="157">
        <v>5720</v>
      </c>
      <c r="E27" s="152">
        <f t="shared" si="0"/>
        <v>5823.5</v>
      </c>
      <c r="F27" s="158">
        <f t="shared" si="1"/>
        <v>0.017558613609317333</v>
      </c>
    </row>
    <row r="28" spans="1:6" ht="12.75">
      <c r="A28" s="9" t="s">
        <v>537</v>
      </c>
      <c r="B28" s="152"/>
      <c r="C28" s="157"/>
      <c r="D28" s="157">
        <v>1600</v>
      </c>
      <c r="E28" s="152">
        <f>SUM(B28:D28)</f>
        <v>1600</v>
      </c>
      <c r="F28" s="158">
        <f t="shared" si="1"/>
        <v>0.004824209113919075</v>
      </c>
    </row>
    <row r="29" spans="1:6" ht="12.75">
      <c r="A29" s="9" t="s">
        <v>500</v>
      </c>
      <c r="B29" s="152">
        <v>2500</v>
      </c>
      <c r="C29" s="157"/>
      <c r="D29" s="157"/>
      <c r="E29" s="152">
        <f t="shared" si="0"/>
        <v>2500</v>
      </c>
      <c r="F29" s="158">
        <f t="shared" si="1"/>
        <v>0.007537826740498555</v>
      </c>
    </row>
    <row r="30" spans="1:6" ht="12.75">
      <c r="A30" s="9" t="s">
        <v>501</v>
      </c>
      <c r="B30" s="152">
        <v>7200</v>
      </c>
      <c r="C30" s="157">
        <v>7200</v>
      </c>
      <c r="D30" s="157">
        <v>7200</v>
      </c>
      <c r="E30" s="152">
        <f t="shared" si="0"/>
        <v>21600</v>
      </c>
      <c r="F30" s="158">
        <f t="shared" si="1"/>
        <v>0.06512682303790751</v>
      </c>
    </row>
    <row r="31" spans="1:6" ht="12.75">
      <c r="A31" s="9" t="s">
        <v>422</v>
      </c>
      <c r="B31" s="152">
        <v>1500</v>
      </c>
      <c r="C31" s="157">
        <v>15000</v>
      </c>
      <c r="D31" s="157">
        <v>13000</v>
      </c>
      <c r="E31" s="152">
        <f t="shared" si="0"/>
        <v>29500</v>
      </c>
      <c r="F31" s="158">
        <f t="shared" si="1"/>
        <v>0.08894635553788294</v>
      </c>
    </row>
    <row r="32" spans="1:6" ht="12.75">
      <c r="A32" s="9" t="s">
        <v>538</v>
      </c>
      <c r="B32" s="152"/>
      <c r="C32" s="157"/>
      <c r="D32" s="157">
        <f>554</f>
        <v>554</v>
      </c>
      <c r="E32" s="152">
        <f>SUM(B32:D32)</f>
        <v>554</v>
      </c>
      <c r="F32" s="158">
        <f t="shared" si="1"/>
        <v>0.0016703824056944795</v>
      </c>
    </row>
    <row r="33" spans="1:7" ht="12.75">
      <c r="A33" s="9" t="s">
        <v>48</v>
      </c>
      <c r="B33" s="152">
        <v>3707697.12</v>
      </c>
      <c r="C33" s="152">
        <v>1699560.32</v>
      </c>
      <c r="D33" s="152">
        <v>3219178.46</v>
      </c>
      <c r="E33" s="152">
        <f t="shared" si="0"/>
        <v>8626435.9</v>
      </c>
      <c r="F33" s="158">
        <f t="shared" si="1"/>
        <v>26.009831680886684</v>
      </c>
      <c r="G33" s="14" t="s">
        <v>23</v>
      </c>
    </row>
    <row r="34" spans="1:8" ht="12.75">
      <c r="A34" s="10" t="s">
        <v>272</v>
      </c>
      <c r="B34" s="166">
        <f>SUM(B10:B33)</f>
        <v>8642959.48</v>
      </c>
      <c r="C34" s="166">
        <f>SUM(C10:C33)</f>
        <v>13053624.66</v>
      </c>
      <c r="D34" s="166">
        <f>SUM(D10:D33)</f>
        <v>9808884.36</v>
      </c>
      <c r="E34" s="166">
        <f>SUM(E10:E33)</f>
        <v>31505468.5</v>
      </c>
      <c r="F34" s="167">
        <f>SUM(F10:F33)</f>
        <v>94.99310517249396</v>
      </c>
      <c r="H34" s="25"/>
    </row>
    <row r="35" spans="2:6" ht="12.75">
      <c r="B35" s="168"/>
      <c r="C35" s="115"/>
      <c r="D35" s="115"/>
      <c r="E35" s="168"/>
      <c r="F35" s="169"/>
    </row>
    <row r="36" spans="1:6" ht="12.75">
      <c r="A36" s="10" t="s">
        <v>213</v>
      </c>
      <c r="B36" s="168"/>
      <c r="C36" s="115"/>
      <c r="D36" s="115"/>
      <c r="E36" s="168"/>
      <c r="F36" s="169"/>
    </row>
    <row r="37" spans="1:8" ht="12.75">
      <c r="A37" s="2" t="s">
        <v>49</v>
      </c>
      <c r="B37" s="168">
        <v>124116.44</v>
      </c>
      <c r="C37" s="168">
        <v>125603.06</v>
      </c>
      <c r="D37" s="168">
        <f>129253.17-9589.45</f>
        <v>119663.72</v>
      </c>
      <c r="E37" s="168">
        <f aca="true" t="shared" si="2" ref="E37:E49">SUM(B37:D37)</f>
        <v>369383.22</v>
      </c>
      <c r="F37" s="169">
        <f aca="true" t="shared" si="3" ref="F37:F49">E37/$E$52*100</f>
        <v>1.113738685282984</v>
      </c>
      <c r="H37" s="115"/>
    </row>
    <row r="38" spans="1:8" ht="12.75">
      <c r="A38" s="2" t="s">
        <v>143</v>
      </c>
      <c r="B38" s="168">
        <v>7417.96</v>
      </c>
      <c r="C38" s="168">
        <v>7971.97</v>
      </c>
      <c r="D38" s="168">
        <v>8103.18</v>
      </c>
      <c r="E38" s="168">
        <f t="shared" si="2"/>
        <v>23493.11</v>
      </c>
      <c r="F38" s="169">
        <f t="shared" si="3"/>
        <v>0.0708347971101896</v>
      </c>
      <c r="H38" s="115"/>
    </row>
    <row r="39" spans="1:8" ht="12.75">
      <c r="A39" s="2" t="s">
        <v>346</v>
      </c>
      <c r="B39" s="168">
        <v>90.21</v>
      </c>
      <c r="C39" s="168">
        <v>88.95</v>
      </c>
      <c r="D39" s="168">
        <v>79.24</v>
      </c>
      <c r="E39" s="168">
        <f t="shared" si="2"/>
        <v>258.4</v>
      </c>
      <c r="F39" s="169">
        <f t="shared" si="3"/>
        <v>0.0007791097718979305</v>
      </c>
      <c r="H39" s="115"/>
    </row>
    <row r="40" spans="1:8" ht="12.75">
      <c r="A40" s="2" t="s">
        <v>142</v>
      </c>
      <c r="B40" s="168">
        <v>7682.33</v>
      </c>
      <c r="C40" s="168">
        <v>8258.2</v>
      </c>
      <c r="D40" s="168">
        <v>9676.22</v>
      </c>
      <c r="E40" s="168">
        <f t="shared" si="2"/>
        <v>25616.75</v>
      </c>
      <c r="F40" s="169">
        <f t="shared" si="3"/>
        <v>0.07723784926186654</v>
      </c>
      <c r="H40" s="115"/>
    </row>
    <row r="41" spans="1:8" ht="12.75">
      <c r="A41" s="2" t="s">
        <v>292</v>
      </c>
      <c r="B41" s="168">
        <v>15273.75</v>
      </c>
      <c r="C41" s="168">
        <v>16419.72</v>
      </c>
      <c r="D41" s="168">
        <v>15981.98</v>
      </c>
      <c r="E41" s="168">
        <f t="shared" si="2"/>
        <v>47675.45</v>
      </c>
      <c r="F41" s="169">
        <f t="shared" si="3"/>
        <v>0.14374771275012072</v>
      </c>
      <c r="H41" s="115"/>
    </row>
    <row r="42" spans="1:8" ht="12.75">
      <c r="A42" s="2" t="s">
        <v>356</v>
      </c>
      <c r="B42" s="168">
        <v>15122.65</v>
      </c>
      <c r="C42" s="168">
        <v>16257.18</v>
      </c>
      <c r="D42" s="168">
        <v>15823.72</v>
      </c>
      <c r="E42" s="168">
        <f t="shared" si="2"/>
        <v>47203.55</v>
      </c>
      <c r="F42" s="169">
        <f t="shared" si="3"/>
        <v>0.1423248725745842</v>
      </c>
      <c r="H42" s="115"/>
    </row>
    <row r="43" spans="1:8" ht="12.75">
      <c r="A43" s="2" t="s">
        <v>357</v>
      </c>
      <c r="B43" s="164">
        <v>25185.06</v>
      </c>
      <c r="C43" s="168">
        <v>20548.32</v>
      </c>
      <c r="D43" s="168">
        <v>18111.83</v>
      </c>
      <c r="E43" s="168">
        <f t="shared" si="2"/>
        <v>63845.21000000001</v>
      </c>
      <c r="F43" s="169">
        <f t="shared" si="3"/>
        <v>0.1925016524762983</v>
      </c>
      <c r="H43" s="115"/>
    </row>
    <row r="44" spans="1:8" ht="12.75">
      <c r="A44" s="2" t="s">
        <v>433</v>
      </c>
      <c r="B44" s="164">
        <v>51372.84</v>
      </c>
      <c r="C44" s="168">
        <v>55116.05</v>
      </c>
      <c r="D44" s="168">
        <v>52498.33</v>
      </c>
      <c r="E44" s="168">
        <f t="shared" si="2"/>
        <v>158987.22</v>
      </c>
      <c r="F44" s="169">
        <f t="shared" si="3"/>
        <v>0.47936724732541064</v>
      </c>
      <c r="H44" s="115"/>
    </row>
    <row r="45" spans="1:8" ht="12.75">
      <c r="A45" s="2" t="s">
        <v>502</v>
      </c>
      <c r="B45" s="164">
        <v>127325.15</v>
      </c>
      <c r="C45" s="168">
        <v>234259.49</v>
      </c>
      <c r="D45" s="168">
        <v>222551.72</v>
      </c>
      <c r="E45" s="168">
        <f t="shared" si="2"/>
        <v>584136.36</v>
      </c>
      <c r="F45" s="169">
        <f t="shared" si="3"/>
        <v>1.7612474698021958</v>
      </c>
      <c r="H45" s="115"/>
    </row>
    <row r="46" spans="1:8" ht="12.75">
      <c r="A46" s="2" t="s">
        <v>384</v>
      </c>
      <c r="B46" s="164">
        <v>1515.96</v>
      </c>
      <c r="C46" s="168">
        <v>1622.42</v>
      </c>
      <c r="D46" s="168">
        <v>1572.52</v>
      </c>
      <c r="E46" s="168">
        <f t="shared" si="2"/>
        <v>4710.9</v>
      </c>
      <c r="F46" s="169">
        <f t="shared" si="3"/>
        <v>0.014203979196725853</v>
      </c>
      <c r="H46" s="115"/>
    </row>
    <row r="47" spans="1:8" ht="12.75">
      <c r="A47" s="2" t="s">
        <v>491</v>
      </c>
      <c r="B47" s="164">
        <v>33037.5</v>
      </c>
      <c r="C47" s="168">
        <v>35199.87</v>
      </c>
      <c r="D47" s="168">
        <v>29944.55</v>
      </c>
      <c r="E47" s="168">
        <f t="shared" si="2"/>
        <v>98181.92</v>
      </c>
      <c r="F47" s="169">
        <f t="shared" si="3"/>
        <v>0.2960313208037959</v>
      </c>
      <c r="H47" s="115"/>
    </row>
    <row r="48" spans="1:8" ht="12.75">
      <c r="A48" s="2" t="s">
        <v>478</v>
      </c>
      <c r="B48" s="164">
        <v>2523.34</v>
      </c>
      <c r="C48" s="168">
        <v>2409.73</v>
      </c>
      <c r="D48" s="168">
        <v>8433.62</v>
      </c>
      <c r="E48" s="168">
        <f t="shared" si="2"/>
        <v>13366.69</v>
      </c>
      <c r="F48" s="169">
        <f t="shared" si="3"/>
        <v>0.04030231732558185</v>
      </c>
      <c r="H48" s="115"/>
    </row>
    <row r="49" spans="1:8" ht="12.75">
      <c r="A49" s="2" t="s">
        <v>50</v>
      </c>
      <c r="B49" s="168">
        <f>38743.93+11530.42+8924.12</f>
        <v>59198.47</v>
      </c>
      <c r="C49" s="168">
        <f>23453.83+9921.63+39722.06+121.07</f>
        <v>73218.59</v>
      </c>
      <c r="D49" s="168">
        <f>43154.25+38450.09+9709.47</f>
        <v>91313.81</v>
      </c>
      <c r="E49" s="168">
        <f t="shared" si="2"/>
        <v>223730.87</v>
      </c>
      <c r="F49" s="169">
        <f t="shared" si="3"/>
        <v>0.6745778138244023</v>
      </c>
      <c r="H49" s="115"/>
    </row>
    <row r="50" spans="1:8" ht="12.75">
      <c r="A50" s="10" t="s">
        <v>273</v>
      </c>
      <c r="B50" s="166">
        <f>SUM(B37:B49)</f>
        <v>469861.66000000003</v>
      </c>
      <c r="C50" s="166">
        <f>SUM(C37:C49)</f>
        <v>596973.5499999999</v>
      </c>
      <c r="D50" s="166">
        <f>SUM(D37:D49)</f>
        <v>593754.4400000001</v>
      </c>
      <c r="E50" s="166">
        <f>SUM(E37:E49)</f>
        <v>1660589.65</v>
      </c>
      <c r="F50" s="167">
        <f>SUM(F37:F49)</f>
        <v>5.006894827506054</v>
      </c>
      <c r="H50" s="25"/>
    </row>
    <row r="51" spans="2:6" ht="5.25" customHeight="1">
      <c r="B51" s="168"/>
      <c r="C51" s="168"/>
      <c r="D51" s="168"/>
      <c r="E51" s="168"/>
      <c r="F51" s="170"/>
    </row>
    <row r="52" spans="1:6" ht="13.5" thickBot="1">
      <c r="A52" s="6" t="s">
        <v>51</v>
      </c>
      <c r="B52" s="171">
        <f>B34+B50</f>
        <v>9112821.14</v>
      </c>
      <c r="C52" s="171">
        <f>C34+C50</f>
        <v>13650598.21</v>
      </c>
      <c r="D52" s="171">
        <f>D34+D50</f>
        <v>10402638.799999999</v>
      </c>
      <c r="E52" s="171">
        <f>E34+E50</f>
        <v>33166058.15</v>
      </c>
      <c r="F52" s="172">
        <f>F34+F50</f>
        <v>100.00000000000001</v>
      </c>
    </row>
    <row r="53" spans="1:6" ht="13.5" thickTop="1">
      <c r="A53" s="6"/>
      <c r="B53" s="173"/>
      <c r="C53" s="173"/>
      <c r="D53" s="173"/>
      <c r="E53" s="173"/>
      <c r="F53" s="174"/>
    </row>
    <row r="54" ht="12.75">
      <c r="A54" s="10" t="s">
        <v>55</v>
      </c>
    </row>
    <row r="55" spans="1:6" ht="12.75">
      <c r="A55" s="14" t="s">
        <v>201</v>
      </c>
      <c r="D55" s="29"/>
      <c r="E55" s="29"/>
      <c r="F55" s="18"/>
    </row>
    <row r="56" ht="12.75">
      <c r="A56" s="14"/>
    </row>
    <row r="57" spans="2:7" ht="12.75">
      <c r="B57" s="30"/>
      <c r="C57" s="30"/>
      <c r="D57" s="30"/>
      <c r="E57" s="30"/>
      <c r="F57" s="24"/>
      <c r="G57" s="24"/>
    </row>
    <row r="59" spans="1:6" ht="12.75">
      <c r="A59" s="6"/>
      <c r="B59" s="29"/>
      <c r="C59" s="29"/>
      <c r="D59" s="29"/>
      <c r="E59" s="29"/>
      <c r="F59" s="18"/>
    </row>
    <row r="60" spans="1:6" ht="12.75">
      <c r="A60" s="6"/>
      <c r="B60" s="29"/>
      <c r="C60" s="29"/>
      <c r="D60" s="29"/>
      <c r="E60" s="29"/>
      <c r="F60" s="18"/>
    </row>
    <row r="61" spans="1:6" ht="12.75">
      <c r="A61" s="6"/>
      <c r="B61" s="29"/>
      <c r="C61" s="29"/>
      <c r="D61" s="29"/>
      <c r="E61" s="29"/>
      <c r="F61" s="18"/>
    </row>
    <row r="62" spans="1:6" ht="12.75">
      <c r="A62" s="6"/>
      <c r="B62" s="29"/>
      <c r="C62" s="29"/>
      <c r="D62" s="29"/>
      <c r="E62" s="29"/>
      <c r="F62" s="18"/>
    </row>
  </sheetData>
  <sheetProtection password="8451" sheet="1" objects="1" scenarios="1"/>
  <mergeCells count="5">
    <mergeCell ref="A5:F5"/>
    <mergeCell ref="E1:F1"/>
    <mergeCell ref="A2:F2"/>
    <mergeCell ref="A3:F3"/>
    <mergeCell ref="A4:F4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0">
      <selection activeCell="I57" activeCellId="1" sqref="I43 I57"/>
    </sheetView>
  </sheetViews>
  <sheetFormatPr defaultColWidth="9.140625" defaultRowHeight="12.75"/>
  <cols>
    <col min="1" max="1" width="33.00390625" style="2" bestFit="1" customWidth="1"/>
    <col min="2" max="2" width="12.421875" style="25" customWidth="1"/>
    <col min="3" max="4" width="12.7109375" style="25" customWidth="1"/>
    <col min="5" max="5" width="11.421875" style="25" customWidth="1"/>
    <col min="6" max="6" width="6.8515625" style="2" bestFit="1" customWidth="1"/>
    <col min="7" max="16384" width="11.421875" style="2" customWidth="1"/>
  </cols>
  <sheetData>
    <row r="1" spans="5:6" ht="12.75">
      <c r="E1" s="245" t="s">
        <v>7</v>
      </c>
      <c r="F1" s="245"/>
    </row>
    <row r="2" spans="1:6" ht="15">
      <c r="A2" s="244" t="s">
        <v>398</v>
      </c>
      <c r="B2" s="244"/>
      <c r="C2" s="244"/>
      <c r="D2" s="244"/>
      <c r="E2" s="244"/>
      <c r="F2" s="244"/>
    </row>
    <row r="3" spans="1:6" ht="15">
      <c r="A3" s="246" t="s">
        <v>558</v>
      </c>
      <c r="B3" s="246"/>
      <c r="C3" s="246"/>
      <c r="D3" s="246"/>
      <c r="E3" s="246"/>
      <c r="F3" s="246"/>
    </row>
    <row r="4" spans="1:6" ht="15">
      <c r="A4" s="244" t="s">
        <v>402</v>
      </c>
      <c r="B4" s="244"/>
      <c r="C4" s="244"/>
      <c r="D4" s="244"/>
      <c r="E4" s="244"/>
      <c r="F4" s="244"/>
    </row>
    <row r="5" spans="1:6" ht="15">
      <c r="A5" s="244" t="s">
        <v>531</v>
      </c>
      <c r="B5" s="244"/>
      <c r="C5" s="244"/>
      <c r="D5" s="244"/>
      <c r="E5" s="244"/>
      <c r="F5" s="244"/>
    </row>
    <row r="6" spans="1:6" ht="15">
      <c r="A6" s="103"/>
      <c r="B6" s="103"/>
      <c r="C6" s="103"/>
      <c r="D6" s="103"/>
      <c r="E6" s="103"/>
      <c r="F6" s="103"/>
    </row>
    <row r="7" spans="1:6" ht="15">
      <c r="A7" s="103"/>
      <c r="B7" s="103"/>
      <c r="C7" s="103"/>
      <c r="D7" s="103"/>
      <c r="E7" s="103"/>
      <c r="F7" s="103"/>
    </row>
    <row r="8" spans="1:6" ht="13.5" customHeight="1">
      <c r="A8" s="19"/>
      <c r="B8" s="19"/>
      <c r="C8" s="19"/>
      <c r="D8" s="19"/>
      <c r="E8" s="19"/>
      <c r="F8" s="19"/>
    </row>
    <row r="9" spans="1:6" ht="8.25" customHeight="1">
      <c r="A9" s="19"/>
      <c r="B9" s="19"/>
      <c r="C9" s="19"/>
      <c r="D9" s="19"/>
      <c r="E9" s="19"/>
      <c r="F9" s="19"/>
    </row>
    <row r="10" spans="1:6" ht="12.75">
      <c r="A10" s="81"/>
      <c r="B10" s="81"/>
      <c r="C10" s="81"/>
      <c r="D10" s="81"/>
      <c r="E10" s="81"/>
      <c r="F10" s="3"/>
    </row>
    <row r="11" spans="1:6" ht="12.75">
      <c r="A11" s="106" t="s">
        <v>19</v>
      </c>
      <c r="B11" s="107" t="s">
        <v>483</v>
      </c>
      <c r="C11" s="107" t="s">
        <v>484</v>
      </c>
      <c r="D11" s="107" t="s">
        <v>520</v>
      </c>
      <c r="E11" s="106" t="s">
        <v>20</v>
      </c>
      <c r="F11" s="96" t="s">
        <v>21</v>
      </c>
    </row>
    <row r="12" spans="1:6" ht="12.75">
      <c r="A12" s="81"/>
      <c r="B12" s="81"/>
      <c r="C12" s="81"/>
      <c r="D12" s="81"/>
      <c r="E12" s="81"/>
      <c r="F12" s="3"/>
    </row>
    <row r="13" spans="1:6" ht="6" customHeight="1">
      <c r="A13" s="3"/>
      <c r="B13" s="26"/>
      <c r="C13" s="26"/>
      <c r="D13" s="26"/>
      <c r="E13" s="26"/>
      <c r="F13" s="3"/>
    </row>
    <row r="14" spans="1:6" ht="15" customHeight="1">
      <c r="A14" s="59" t="s">
        <v>383</v>
      </c>
      <c r="B14" s="175"/>
      <c r="C14" s="157"/>
      <c r="D14" s="157">
        <v>121980</v>
      </c>
      <c r="E14" s="152">
        <f>SUM(B14:D14)</f>
        <v>121980</v>
      </c>
      <c r="F14" s="158">
        <f>(E14/$E$19*100)</f>
        <v>6.355346061045293</v>
      </c>
    </row>
    <row r="15" spans="1:6" ht="15" customHeight="1">
      <c r="A15" s="8" t="s">
        <v>52</v>
      </c>
      <c r="B15" s="152">
        <v>684672</v>
      </c>
      <c r="C15" s="157">
        <v>201432</v>
      </c>
      <c r="D15" s="157">
        <v>370800</v>
      </c>
      <c r="E15" s="152">
        <f>SUM(B15:D15)</f>
        <v>1256904</v>
      </c>
      <c r="F15" s="158">
        <f>(E15/$E$19*100)</f>
        <v>65.48663621505224</v>
      </c>
    </row>
    <row r="16" spans="1:6" ht="15" customHeight="1">
      <c r="A16" s="8" t="s">
        <v>53</v>
      </c>
      <c r="B16" s="152">
        <f>242867+1500</f>
        <v>244367</v>
      </c>
      <c r="C16" s="152">
        <v>191451</v>
      </c>
      <c r="D16" s="152">
        <v>82982</v>
      </c>
      <c r="E16" s="152">
        <f>SUM(B16:D16)</f>
        <v>518800</v>
      </c>
      <c r="F16" s="158">
        <f>(E16/$E$19*100)</f>
        <v>27.03027985301113</v>
      </c>
    </row>
    <row r="17" spans="1:6" ht="15" customHeight="1">
      <c r="A17" s="2" t="s">
        <v>54</v>
      </c>
      <c r="B17" s="152">
        <f>6290+2405</f>
        <v>8695</v>
      </c>
      <c r="C17" s="152">
        <f>3811+1073</f>
        <v>4884</v>
      </c>
      <c r="D17" s="152">
        <f>6697+1369</f>
        <v>8066</v>
      </c>
      <c r="E17" s="152">
        <f>SUM(B17:D17)</f>
        <v>21645</v>
      </c>
      <c r="F17" s="158">
        <f>(E17/$E$19*100)</f>
        <v>1.1277378708913375</v>
      </c>
    </row>
    <row r="18" spans="2:6" ht="12.75">
      <c r="B18" s="151"/>
      <c r="C18" s="152"/>
      <c r="D18" s="152"/>
      <c r="E18" s="152"/>
      <c r="F18" s="158"/>
    </row>
    <row r="19" spans="1:6" ht="20.25" customHeight="1" thickBot="1">
      <c r="A19" s="6" t="s">
        <v>209</v>
      </c>
      <c r="B19" s="176">
        <f>SUM(B14:B17)</f>
        <v>937734</v>
      </c>
      <c r="C19" s="176">
        <f>SUM(C14:C17)</f>
        <v>397767</v>
      </c>
      <c r="D19" s="176">
        <f>SUM(D14:D17)</f>
        <v>583828</v>
      </c>
      <c r="E19" s="176">
        <f>SUM(E14:E17)</f>
        <v>1919329</v>
      </c>
      <c r="F19" s="176">
        <f>SUM(F14:F17)</f>
        <v>100</v>
      </c>
    </row>
    <row r="20" spans="2:6" ht="13.5" thickTop="1">
      <c r="B20" s="115"/>
      <c r="C20" s="115"/>
      <c r="D20" s="115"/>
      <c r="E20" s="115"/>
      <c r="F20" s="115"/>
    </row>
  </sheetData>
  <sheetProtection password="8451" sheet="1" objects="1" scenarios="1"/>
  <mergeCells count="5">
    <mergeCell ref="A5:F5"/>
    <mergeCell ref="E1:F1"/>
    <mergeCell ref="A2:F2"/>
    <mergeCell ref="A3:F3"/>
    <mergeCell ref="A4:F4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6">
      <selection activeCell="I57" activeCellId="1" sqref="I43 I57"/>
    </sheetView>
  </sheetViews>
  <sheetFormatPr defaultColWidth="9.140625" defaultRowHeight="12.75"/>
  <cols>
    <col min="1" max="1" width="25.28125" style="19" customWidth="1"/>
    <col min="2" max="4" width="13.7109375" style="32" customWidth="1"/>
    <col min="5" max="5" width="14.7109375" style="32" customWidth="1"/>
    <col min="6" max="6" width="9.7109375" style="19" customWidth="1"/>
    <col min="7" max="7" width="2.7109375" style="19" customWidth="1"/>
    <col min="8" max="16384" width="11.421875" style="19" customWidth="1"/>
  </cols>
  <sheetData>
    <row r="1" spans="1:7" ht="12.75">
      <c r="A1" s="2"/>
      <c r="B1" s="25"/>
      <c r="C1" s="25"/>
      <c r="D1" s="25"/>
      <c r="E1" s="245" t="s">
        <v>8</v>
      </c>
      <c r="F1" s="245"/>
      <c r="G1" s="2"/>
    </row>
    <row r="2" spans="1:7" ht="15">
      <c r="A2" s="244" t="s">
        <v>398</v>
      </c>
      <c r="B2" s="244"/>
      <c r="C2" s="244"/>
      <c r="D2" s="244"/>
      <c r="E2" s="244"/>
      <c r="F2" s="244"/>
      <c r="G2" s="2"/>
    </row>
    <row r="3" spans="1:7" ht="15">
      <c r="A3" s="246" t="s">
        <v>557</v>
      </c>
      <c r="B3" s="246"/>
      <c r="C3" s="246"/>
      <c r="D3" s="246"/>
      <c r="E3" s="246"/>
      <c r="F3" s="246"/>
      <c r="G3" s="2"/>
    </row>
    <row r="4" spans="1:7" ht="15">
      <c r="A4" s="244" t="s">
        <v>403</v>
      </c>
      <c r="B4" s="244"/>
      <c r="C4" s="244"/>
      <c r="D4" s="244"/>
      <c r="E4" s="244"/>
      <c r="F4" s="244"/>
      <c r="G4" s="2"/>
    </row>
    <row r="5" spans="1:7" ht="15">
      <c r="A5" s="244" t="s">
        <v>531</v>
      </c>
      <c r="B5" s="244"/>
      <c r="C5" s="244"/>
      <c r="D5" s="244"/>
      <c r="E5" s="244"/>
      <c r="F5" s="244"/>
      <c r="G5" s="2"/>
    </row>
    <row r="6" spans="2:7" ht="8.25" customHeight="1">
      <c r="B6" s="19"/>
      <c r="C6" s="19"/>
      <c r="D6" s="19"/>
      <c r="E6" s="19"/>
      <c r="G6" s="2"/>
    </row>
    <row r="7" spans="2:7" ht="8.25" customHeight="1">
      <c r="B7" s="19"/>
      <c r="C7" s="19"/>
      <c r="D7" s="19"/>
      <c r="E7" s="19"/>
      <c r="G7" s="2"/>
    </row>
    <row r="8" spans="2:7" ht="8.25" customHeight="1">
      <c r="B8" s="19"/>
      <c r="C8" s="19"/>
      <c r="D8" s="19"/>
      <c r="E8" s="19"/>
      <c r="G8" s="2"/>
    </row>
    <row r="9" spans="2:7" ht="8.25" customHeight="1">
      <c r="B9" s="19"/>
      <c r="C9" s="19"/>
      <c r="D9" s="19"/>
      <c r="E9" s="19"/>
      <c r="G9" s="2"/>
    </row>
    <row r="10" spans="1:7" ht="12.75">
      <c r="A10" s="81"/>
      <c r="B10" s="81"/>
      <c r="C10" s="81"/>
      <c r="D10" s="81"/>
      <c r="E10" s="81"/>
      <c r="F10" s="3"/>
      <c r="G10" s="2"/>
    </row>
    <row r="11" spans="1:7" ht="12.75">
      <c r="A11" s="106" t="s">
        <v>19</v>
      </c>
      <c r="B11" s="107" t="s">
        <v>483</v>
      </c>
      <c r="C11" s="107" t="s">
        <v>484</v>
      </c>
      <c r="D11" s="107" t="s">
        <v>520</v>
      </c>
      <c r="E11" s="106" t="s">
        <v>20</v>
      </c>
      <c r="F11" s="96" t="s">
        <v>21</v>
      </c>
      <c r="G11" s="2"/>
    </row>
    <row r="12" spans="1:7" ht="12.75">
      <c r="A12" s="81"/>
      <c r="B12" s="81"/>
      <c r="C12" s="81"/>
      <c r="D12" s="81"/>
      <c r="E12" s="81"/>
      <c r="F12" s="3"/>
      <c r="G12" s="2"/>
    </row>
    <row r="13" spans="1:7" ht="6" customHeight="1">
      <c r="A13" s="3"/>
      <c r="B13" s="26"/>
      <c r="C13" s="26"/>
      <c r="D13" s="26"/>
      <c r="E13" s="26"/>
      <c r="F13" s="3"/>
      <c r="G13" s="2"/>
    </row>
    <row r="14" spans="1:7" ht="12.75" customHeight="1">
      <c r="A14" s="3"/>
      <c r="B14" s="26"/>
      <c r="C14" s="26"/>
      <c r="D14" s="26"/>
      <c r="E14" s="26"/>
      <c r="F14" s="3"/>
      <c r="G14" s="2"/>
    </row>
    <row r="15" spans="1:7" ht="17.25" customHeight="1">
      <c r="A15" s="2" t="s">
        <v>477</v>
      </c>
      <c r="B15" s="152">
        <v>86000</v>
      </c>
      <c r="C15" s="157">
        <v>6000</v>
      </c>
      <c r="D15" s="157">
        <v>6000</v>
      </c>
      <c r="E15" s="152">
        <f>SUM(B15:D15)</f>
        <v>98000</v>
      </c>
      <c r="F15" s="158">
        <f>(E15/$E$21*100)</f>
        <v>2.680623245889388</v>
      </c>
      <c r="G15" s="12"/>
    </row>
    <row r="16" spans="1:7" ht="17.25" customHeight="1">
      <c r="A16" s="2" t="s">
        <v>490</v>
      </c>
      <c r="B16" s="152">
        <v>338078.77</v>
      </c>
      <c r="C16" s="157"/>
      <c r="D16" s="157">
        <v>703709.92</v>
      </c>
      <c r="E16" s="152">
        <f>SUM(B16:D16)</f>
        <v>1041788.6900000001</v>
      </c>
      <c r="F16" s="158">
        <f>(E16/$E$21*100)</f>
        <v>28.496356935904625</v>
      </c>
      <c r="G16" s="12"/>
    </row>
    <row r="17" spans="1:6" ht="17.25" customHeight="1">
      <c r="A17" s="2" t="s">
        <v>56</v>
      </c>
      <c r="B17" s="157">
        <v>182349.35</v>
      </c>
      <c r="C17" s="157">
        <v>169150</v>
      </c>
      <c r="D17" s="157">
        <f>412000+1500</f>
        <v>413500</v>
      </c>
      <c r="E17" s="152">
        <f>SUM(B17:D17)</f>
        <v>764999.35</v>
      </c>
      <c r="F17" s="158">
        <f>(E17/$E$21*100)</f>
        <v>20.925255517349715</v>
      </c>
    </row>
    <row r="18" spans="1:7" ht="17.25" customHeight="1">
      <c r="A18" s="2" t="s">
        <v>57</v>
      </c>
      <c r="B18" s="157">
        <v>223152</v>
      </c>
      <c r="C18" s="157">
        <f>233079.84</f>
        <v>233079.84</v>
      </c>
      <c r="D18" s="157">
        <f>71500+1099350-1500</f>
        <v>1169350</v>
      </c>
      <c r="E18" s="152">
        <f>SUM(B18:D18)</f>
        <v>1625581.8399999999</v>
      </c>
      <c r="F18" s="158">
        <f>(E18/$E$21*100)</f>
        <v>44.465025187751465</v>
      </c>
      <c r="G18" s="12" t="s">
        <v>23</v>
      </c>
    </row>
    <row r="19" spans="1:6" ht="17.25" customHeight="1">
      <c r="A19" s="9" t="s">
        <v>58</v>
      </c>
      <c r="B19" s="157">
        <v>25037</v>
      </c>
      <c r="C19" s="157">
        <v>-37</v>
      </c>
      <c r="D19" s="157">
        <v>100496.35</v>
      </c>
      <c r="E19" s="152">
        <f>SUM(B19:D19)</f>
        <v>125496.35</v>
      </c>
      <c r="F19" s="158">
        <f>(E19/$E$21*100)</f>
        <v>3.432739113104803</v>
      </c>
    </row>
    <row r="20" spans="1:7" ht="12.75">
      <c r="A20" s="2"/>
      <c r="B20" s="151"/>
      <c r="C20" s="161"/>
      <c r="D20" s="161"/>
      <c r="E20" s="151"/>
      <c r="F20" s="153"/>
      <c r="G20" s="2"/>
    </row>
    <row r="21" spans="1:7" ht="13.5" thickBot="1">
      <c r="A21" s="6" t="s">
        <v>209</v>
      </c>
      <c r="B21" s="176">
        <f>SUM(B15:B19)</f>
        <v>854617.12</v>
      </c>
      <c r="C21" s="176">
        <f>SUM(C15:C19)</f>
        <v>408192.83999999997</v>
      </c>
      <c r="D21" s="176">
        <f>SUM(D15:D19)</f>
        <v>2393056.27</v>
      </c>
      <c r="E21" s="176">
        <f>SUM(E15:E19)</f>
        <v>3655866.23</v>
      </c>
      <c r="F21" s="177">
        <f>SUM(F15:F19)</f>
        <v>100</v>
      </c>
      <c r="G21" s="2"/>
    </row>
    <row r="22" spans="1:7" ht="13.5" thickTop="1">
      <c r="A22" s="2"/>
      <c r="B22" s="25"/>
      <c r="C22" s="25"/>
      <c r="D22" s="25"/>
      <c r="E22" s="25"/>
      <c r="F22" s="2"/>
      <c r="G22" s="2"/>
    </row>
    <row r="23" spans="1:7" ht="12.75">
      <c r="A23" s="2"/>
      <c r="B23" s="25"/>
      <c r="C23" s="25"/>
      <c r="D23" s="25"/>
      <c r="E23" s="25"/>
      <c r="F23" s="2"/>
      <c r="G23" s="2"/>
    </row>
    <row r="24" spans="1:7" ht="12.75">
      <c r="A24" s="2"/>
      <c r="B24" s="25"/>
      <c r="C24" s="25"/>
      <c r="D24" s="25"/>
      <c r="E24" s="25"/>
      <c r="F24" s="2"/>
      <c r="G24" s="2"/>
    </row>
    <row r="29" spans="1:7" ht="12.75">
      <c r="A29" s="10" t="s">
        <v>59</v>
      </c>
      <c r="B29" s="25"/>
      <c r="C29" s="25"/>
      <c r="D29" s="25"/>
      <c r="E29" s="25"/>
      <c r="F29" s="2"/>
      <c r="G29" s="2"/>
    </row>
    <row r="30" spans="1:7" ht="12.75">
      <c r="A30" s="2"/>
      <c r="B30" s="25"/>
      <c r="C30" s="25"/>
      <c r="D30" s="25"/>
      <c r="E30" s="25"/>
      <c r="F30" s="2"/>
      <c r="G30" s="2"/>
    </row>
    <row r="31" spans="1:7" ht="12.75">
      <c r="A31" s="23" t="s">
        <v>450</v>
      </c>
      <c r="B31" s="89"/>
      <c r="C31" s="89"/>
      <c r="D31" s="89"/>
      <c r="E31" s="89"/>
      <c r="G31" s="89"/>
    </row>
    <row r="32" spans="1:7" ht="12.75">
      <c r="A32" s="89"/>
      <c r="B32" s="89"/>
      <c r="C32" s="89"/>
      <c r="D32" s="89"/>
      <c r="E32" s="89"/>
      <c r="F32" s="182"/>
      <c r="G32" s="89"/>
    </row>
    <row r="33" spans="1:7" ht="12.75">
      <c r="A33" s="89"/>
      <c r="B33" s="178"/>
      <c r="C33" s="178"/>
      <c r="D33" s="178"/>
      <c r="E33" s="178"/>
      <c r="F33" s="183"/>
      <c r="G33" s="92"/>
    </row>
    <row r="34" spans="1:7" ht="12.75">
      <c r="A34" s="89"/>
      <c r="B34" s="178"/>
      <c r="C34" s="178"/>
      <c r="D34" s="178"/>
      <c r="E34" s="178"/>
      <c r="F34" s="183"/>
      <c r="G34" s="92"/>
    </row>
    <row r="35" spans="1:7" ht="12.75">
      <c r="A35" s="89"/>
      <c r="B35" s="179"/>
      <c r="C35" s="179"/>
      <c r="D35" s="179"/>
      <c r="E35" s="179"/>
      <c r="F35" s="183"/>
      <c r="G35" s="180"/>
    </row>
    <row r="36" spans="1:7" ht="12.75">
      <c r="A36" s="89"/>
      <c r="B36" s="89"/>
      <c r="C36" s="89"/>
      <c r="D36" s="89"/>
      <c r="E36" s="89"/>
      <c r="F36" s="183"/>
      <c r="G36" s="89"/>
    </row>
    <row r="37" spans="2:7" ht="12.75">
      <c r="B37" s="89"/>
      <c r="C37" s="89"/>
      <c r="D37" s="89"/>
      <c r="E37" s="89"/>
      <c r="F37" s="183"/>
      <c r="G37" s="89"/>
    </row>
    <row r="38" spans="1:7" ht="12.75">
      <c r="A38" s="181"/>
      <c r="B38" s="179"/>
      <c r="C38" s="179"/>
      <c r="D38" s="179"/>
      <c r="E38" s="179"/>
      <c r="F38" s="183"/>
      <c r="G38" s="180"/>
    </row>
    <row r="39" spans="1:7" ht="12.75">
      <c r="A39" s="181"/>
      <c r="B39" s="179"/>
      <c r="C39" s="179"/>
      <c r="D39" s="179"/>
      <c r="E39" s="179"/>
      <c r="F39" s="182"/>
      <c r="G39" s="180"/>
    </row>
    <row r="40" spans="2:7" ht="12.75">
      <c r="B40" s="24"/>
      <c r="C40" s="24"/>
      <c r="D40" s="24"/>
      <c r="E40" s="24"/>
      <c r="F40" s="183"/>
      <c r="G40" s="24"/>
    </row>
    <row r="41" spans="2:7" ht="15" customHeight="1">
      <c r="B41" s="179"/>
      <c r="C41" s="179"/>
      <c r="D41" s="179"/>
      <c r="E41" s="179"/>
      <c r="F41" s="180"/>
      <c r="G41" s="180"/>
    </row>
    <row r="42" spans="1:7" ht="12.75">
      <c r="A42" s="23"/>
      <c r="B42" s="24"/>
      <c r="C42" s="24"/>
      <c r="D42" s="24"/>
      <c r="E42" s="24"/>
      <c r="F42" s="24"/>
      <c r="G42" s="24"/>
    </row>
    <row r="43" spans="1:7" ht="12.75">
      <c r="A43" s="180"/>
      <c r="B43" s="179"/>
      <c r="C43" s="179"/>
      <c r="D43" s="179"/>
      <c r="E43" s="179"/>
      <c r="F43" s="180"/>
      <c r="G43" s="180"/>
    </row>
  </sheetData>
  <sheetProtection password="8451" sheet="1" objects="1" scenarios="1"/>
  <mergeCells count="5">
    <mergeCell ref="A5:F5"/>
    <mergeCell ref="E1:F1"/>
    <mergeCell ref="A2:F2"/>
    <mergeCell ref="A3:F3"/>
    <mergeCell ref="A4:F4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22">
      <selection activeCell="I57" activeCellId="1" sqref="I43 I57"/>
    </sheetView>
  </sheetViews>
  <sheetFormatPr defaultColWidth="9.140625" defaultRowHeight="12.75"/>
  <cols>
    <col min="1" max="1" width="40.421875" style="2" customWidth="1"/>
    <col min="2" max="5" width="12.8515625" style="25" customWidth="1"/>
    <col min="6" max="6" width="11.28125" style="2" bestFit="1" customWidth="1"/>
    <col min="7" max="7" width="2.7109375" style="2" customWidth="1"/>
    <col min="8" max="8" width="4.28125" style="2" customWidth="1"/>
    <col min="9" max="16384" width="11.421875" style="2" customWidth="1"/>
  </cols>
  <sheetData>
    <row r="1" spans="5:6" ht="12.75">
      <c r="E1" s="245" t="s">
        <v>152</v>
      </c>
      <c r="F1" s="245"/>
    </row>
    <row r="2" spans="1:6" ht="15">
      <c r="A2" s="244" t="s">
        <v>398</v>
      </c>
      <c r="B2" s="244"/>
      <c r="C2" s="244"/>
      <c r="D2" s="244"/>
      <c r="E2" s="244"/>
      <c r="F2" s="244"/>
    </row>
    <row r="3" spans="1:6" ht="15">
      <c r="A3" s="246" t="s">
        <v>557</v>
      </c>
      <c r="B3" s="246"/>
      <c r="C3" s="246"/>
      <c r="D3" s="246"/>
      <c r="E3" s="246"/>
      <c r="F3" s="246"/>
    </row>
    <row r="4" spans="1:6" ht="15">
      <c r="A4" s="244" t="s">
        <v>404</v>
      </c>
      <c r="B4" s="244"/>
      <c r="C4" s="244"/>
      <c r="D4" s="244"/>
      <c r="E4" s="244"/>
      <c r="F4" s="244"/>
    </row>
    <row r="5" spans="1:7" ht="15">
      <c r="A5" s="244" t="s">
        <v>531</v>
      </c>
      <c r="B5" s="244"/>
      <c r="C5" s="244"/>
      <c r="D5" s="244"/>
      <c r="E5" s="244"/>
      <c r="F5" s="244"/>
      <c r="G5" s="41"/>
    </row>
    <row r="6" spans="1:6" ht="8.25" customHeight="1">
      <c r="A6" s="108"/>
      <c r="B6" s="108"/>
      <c r="C6" s="108"/>
      <c r="D6" s="108"/>
      <c r="E6" s="108"/>
      <c r="F6" s="108"/>
    </row>
    <row r="7" spans="1:6" ht="8.25" customHeight="1">
      <c r="A7" s="108"/>
      <c r="B7" s="108"/>
      <c r="C7" s="108"/>
      <c r="D7" s="108"/>
      <c r="E7" s="108"/>
      <c r="F7" s="108"/>
    </row>
    <row r="8" spans="1:6" ht="8.25" customHeight="1">
      <c r="A8" s="19"/>
      <c r="B8" s="19"/>
      <c r="C8" s="19"/>
      <c r="D8" s="19"/>
      <c r="E8" s="19"/>
      <c r="F8" s="19"/>
    </row>
    <row r="9" spans="1:6" ht="12.75">
      <c r="A9" s="81"/>
      <c r="B9" s="81"/>
      <c r="C9" s="81"/>
      <c r="D9" s="81"/>
      <c r="E9" s="81"/>
      <c r="F9" s="3"/>
    </row>
    <row r="10" spans="1:6" ht="22.5" customHeight="1">
      <c r="A10" s="106" t="s">
        <v>19</v>
      </c>
      <c r="B10" s="107" t="s">
        <v>483</v>
      </c>
      <c r="C10" s="107" t="s">
        <v>484</v>
      </c>
      <c r="D10" s="107" t="s">
        <v>520</v>
      </c>
      <c r="E10" s="106" t="s">
        <v>20</v>
      </c>
      <c r="F10" s="96" t="s">
        <v>21</v>
      </c>
    </row>
    <row r="11" spans="1:6" ht="12.75">
      <c r="A11" s="81"/>
      <c r="B11" s="81"/>
      <c r="C11" s="81"/>
      <c r="D11" s="81"/>
      <c r="E11" s="81"/>
      <c r="F11" s="3"/>
    </row>
    <row r="12" spans="1:6" ht="12.75" customHeight="1">
      <c r="A12" s="3"/>
      <c r="B12" s="28"/>
      <c r="C12" s="28"/>
      <c r="D12" s="26"/>
      <c r="E12" s="26"/>
      <c r="F12" s="3"/>
    </row>
    <row r="13" spans="1:6" ht="12.75" customHeight="1">
      <c r="A13" s="3"/>
      <c r="B13" s="28"/>
      <c r="C13" s="28"/>
      <c r="D13" s="26"/>
      <c r="E13" s="26"/>
      <c r="F13" s="3"/>
    </row>
    <row r="14" spans="1:7" ht="17.25" customHeight="1">
      <c r="A14" s="9" t="s">
        <v>521</v>
      </c>
      <c r="B14" s="152"/>
      <c r="C14" s="152">
        <v>233079.84</v>
      </c>
      <c r="D14" s="151"/>
      <c r="E14" s="152">
        <f aca="true" t="shared" si="0" ref="E14:E19">SUM(B14:D14)</f>
        <v>233079.84</v>
      </c>
      <c r="F14" s="158">
        <f aca="true" t="shared" si="1" ref="F14:F19">(E14/$E$21*100)</f>
        <v>14.338240884876027</v>
      </c>
      <c r="G14" s="11" t="s">
        <v>23</v>
      </c>
    </row>
    <row r="15" spans="1:8" ht="17.25" customHeight="1">
      <c r="A15" s="9" t="s">
        <v>482</v>
      </c>
      <c r="B15" s="152">
        <v>120000</v>
      </c>
      <c r="C15" s="152"/>
      <c r="D15" s="151">
        <v>40000</v>
      </c>
      <c r="E15" s="152">
        <f t="shared" si="0"/>
        <v>160000</v>
      </c>
      <c r="F15" s="158">
        <f t="shared" si="1"/>
        <v>9.842629639612609</v>
      </c>
      <c r="G15" s="11" t="s">
        <v>24</v>
      </c>
      <c r="H15" s="17"/>
    </row>
    <row r="16" spans="1:8" ht="17.25" customHeight="1">
      <c r="A16" s="9" t="s">
        <v>458</v>
      </c>
      <c r="B16" s="152">
        <v>34000</v>
      </c>
      <c r="C16" s="152"/>
      <c r="D16" s="151"/>
      <c r="E16" s="152">
        <f t="shared" si="0"/>
        <v>34000</v>
      </c>
      <c r="F16" s="158">
        <f t="shared" si="1"/>
        <v>2.0915587984176796</v>
      </c>
      <c r="G16" s="14" t="s">
        <v>27</v>
      </c>
      <c r="H16" s="17"/>
    </row>
    <row r="17" spans="1:7" ht="17.25" customHeight="1">
      <c r="A17" s="9" t="s">
        <v>443</v>
      </c>
      <c r="B17" s="152">
        <f>9139+15936+18890+25187</f>
        <v>69152</v>
      </c>
      <c r="C17" s="152"/>
      <c r="D17" s="152"/>
      <c r="E17" s="152">
        <f t="shared" si="0"/>
        <v>69152</v>
      </c>
      <c r="F17" s="158">
        <f t="shared" si="1"/>
        <v>4.25398453024057</v>
      </c>
      <c r="G17" s="11" t="s">
        <v>314</v>
      </c>
    </row>
    <row r="18" spans="1:7" ht="17.25" customHeight="1">
      <c r="A18" s="9" t="s">
        <v>548</v>
      </c>
      <c r="B18" s="152"/>
      <c r="C18" s="152"/>
      <c r="D18" s="152">
        <v>30000</v>
      </c>
      <c r="E18" s="152">
        <f t="shared" si="0"/>
        <v>30000</v>
      </c>
      <c r="F18" s="158">
        <f t="shared" si="1"/>
        <v>1.845493057427364</v>
      </c>
      <c r="G18" s="11" t="s">
        <v>315</v>
      </c>
    </row>
    <row r="19" spans="1:7" ht="17.25" customHeight="1">
      <c r="A19" s="9" t="s">
        <v>549</v>
      </c>
      <c r="B19" s="152"/>
      <c r="C19" s="152"/>
      <c r="D19" s="152">
        <f>52350+52350+942300+52350</f>
        <v>1099350</v>
      </c>
      <c r="E19" s="152">
        <f t="shared" si="0"/>
        <v>1099350</v>
      </c>
      <c r="F19" s="158">
        <f t="shared" si="1"/>
        <v>67.62809308942576</v>
      </c>
      <c r="G19" s="11" t="s">
        <v>316</v>
      </c>
    </row>
    <row r="20" spans="2:7" ht="4.5" customHeight="1">
      <c r="B20" s="184"/>
      <c r="C20" s="184"/>
      <c r="D20" s="161"/>
      <c r="E20" s="152"/>
      <c r="F20" s="158"/>
      <c r="G20" s="14"/>
    </row>
    <row r="21" spans="1:7" ht="13.5" thickBot="1">
      <c r="A21" s="6" t="s">
        <v>209</v>
      </c>
      <c r="B21" s="176">
        <f>SUM(B14:B19)</f>
        <v>223152</v>
      </c>
      <c r="C21" s="176">
        <f>SUM(C14:C19)</f>
        <v>233079.84</v>
      </c>
      <c r="D21" s="176">
        <f>SUM(D14:D19)</f>
        <v>1169350</v>
      </c>
      <c r="E21" s="176">
        <f>SUM(E14:E19)</f>
        <v>1625581.8399999999</v>
      </c>
      <c r="F21" s="176">
        <f>SUM(F14:F19)</f>
        <v>100</v>
      </c>
      <c r="G21" s="11"/>
    </row>
    <row r="22" spans="1:7" ht="13.5" thickTop="1">
      <c r="A22" s="6"/>
      <c r="B22" s="60"/>
      <c r="C22" s="60"/>
      <c r="D22" s="60"/>
      <c r="E22" s="60"/>
      <c r="F22" s="60"/>
      <c r="G22" s="11"/>
    </row>
    <row r="23" spans="1:7" ht="12.75">
      <c r="A23" s="6"/>
      <c r="B23" s="60"/>
      <c r="C23" s="60"/>
      <c r="D23" s="60"/>
      <c r="E23" s="60"/>
      <c r="F23" s="60"/>
      <c r="G23" s="11"/>
    </row>
    <row r="24" spans="1:7" ht="12.75">
      <c r="A24" s="6"/>
      <c r="B24" s="60"/>
      <c r="C24" s="60"/>
      <c r="D24" s="60"/>
      <c r="E24" s="60"/>
      <c r="F24" s="60"/>
      <c r="G24" s="11"/>
    </row>
    <row r="25" spans="1:7" ht="12.75">
      <c r="A25" s="6"/>
      <c r="B25" s="60"/>
      <c r="C25" s="60"/>
      <c r="D25" s="60"/>
      <c r="E25" s="60"/>
      <c r="F25" s="60"/>
      <c r="G25" s="11"/>
    </row>
    <row r="26" spans="2:6" ht="12.75">
      <c r="B26" s="60"/>
      <c r="C26" s="60"/>
      <c r="D26" s="60"/>
      <c r="E26" s="60"/>
      <c r="F26" s="18"/>
    </row>
    <row r="27" spans="1:6" ht="12.75">
      <c r="A27" s="14"/>
      <c r="B27" s="60"/>
      <c r="C27" s="60"/>
      <c r="D27" s="60"/>
      <c r="E27" s="60"/>
      <c r="F27" s="18"/>
    </row>
    <row r="28" spans="1:6" ht="12.75">
      <c r="A28" s="14" t="s">
        <v>29</v>
      </c>
      <c r="B28" s="60"/>
      <c r="C28" s="60"/>
      <c r="D28" s="60"/>
      <c r="E28" s="60"/>
      <c r="F28" s="18"/>
    </row>
    <row r="29" spans="1:6" ht="12.75">
      <c r="A29" s="14"/>
      <c r="B29" s="60"/>
      <c r="C29" s="60"/>
      <c r="D29" s="60"/>
      <c r="E29" s="60"/>
      <c r="F29" s="18"/>
    </row>
    <row r="30" spans="1:6" ht="12.75">
      <c r="A30" s="14" t="s">
        <v>522</v>
      </c>
      <c r="B30" s="60"/>
      <c r="C30" s="60"/>
      <c r="D30" s="60"/>
      <c r="E30" s="60"/>
      <c r="F30" s="238">
        <v>233079.84</v>
      </c>
    </row>
    <row r="31" spans="2:6" ht="6" customHeight="1">
      <c r="B31" s="60"/>
      <c r="C31" s="60"/>
      <c r="D31" s="60"/>
      <c r="E31" s="60"/>
      <c r="F31" s="18"/>
    </row>
    <row r="32" spans="1:6" ht="12.75">
      <c r="A32" s="14" t="s">
        <v>523</v>
      </c>
      <c r="B32" s="60"/>
      <c r="C32" s="60"/>
      <c r="D32" s="60"/>
      <c r="E32" s="60"/>
      <c r="F32" s="238">
        <v>120000</v>
      </c>
    </row>
    <row r="33" spans="1:6" ht="12.75">
      <c r="A33" s="61" t="s">
        <v>550</v>
      </c>
      <c r="B33" s="60"/>
      <c r="C33" s="60"/>
      <c r="D33" s="60"/>
      <c r="E33" s="60"/>
      <c r="F33" s="18"/>
    </row>
    <row r="34" spans="1:6" ht="12.75">
      <c r="A34" s="61" t="s">
        <v>551</v>
      </c>
      <c r="B34" s="60"/>
      <c r="C34" s="60"/>
      <c r="D34" s="60"/>
      <c r="E34" s="60"/>
      <c r="F34" s="238">
        <v>40000</v>
      </c>
    </row>
    <row r="35" spans="2:6" ht="6" customHeight="1">
      <c r="B35" s="60"/>
      <c r="C35" s="60"/>
      <c r="D35" s="60"/>
      <c r="E35" s="60"/>
      <c r="F35" s="183"/>
    </row>
    <row r="36" spans="1:6" ht="12.75" customHeight="1">
      <c r="A36" s="14" t="s">
        <v>524</v>
      </c>
      <c r="B36" s="60"/>
      <c r="C36" s="60"/>
      <c r="D36" s="60"/>
      <c r="E36" s="60"/>
      <c r="F36" s="183"/>
    </row>
    <row r="37" spans="1:6" ht="12.75" customHeight="1">
      <c r="A37" s="42" t="s">
        <v>475</v>
      </c>
      <c r="B37" s="60"/>
      <c r="C37" s="60"/>
      <c r="D37" s="60"/>
      <c r="E37" s="60"/>
      <c r="F37" s="238">
        <v>34000</v>
      </c>
    </row>
    <row r="38" spans="1:6" ht="6" customHeight="1">
      <c r="A38" s="61"/>
      <c r="B38" s="60"/>
      <c r="C38" s="60"/>
      <c r="D38" s="60"/>
      <c r="E38" s="60"/>
      <c r="F38" s="183"/>
    </row>
    <row r="39" spans="1:6" ht="12.75" customHeight="1">
      <c r="A39" s="14" t="s">
        <v>525</v>
      </c>
      <c r="B39" s="60"/>
      <c r="C39" s="60"/>
      <c r="D39" s="60"/>
      <c r="E39" s="60"/>
      <c r="F39" s="183"/>
    </row>
    <row r="40" spans="1:6" ht="12.75" customHeight="1">
      <c r="A40" s="61" t="s">
        <v>476</v>
      </c>
      <c r="B40" s="60"/>
      <c r="C40" s="60"/>
      <c r="D40" s="60"/>
      <c r="E40" s="60"/>
      <c r="F40" s="238">
        <v>69152</v>
      </c>
    </row>
    <row r="41" spans="1:6" ht="6" customHeight="1">
      <c r="A41" s="14"/>
      <c r="B41" s="60"/>
      <c r="C41" s="60"/>
      <c r="D41" s="60"/>
      <c r="E41" s="60"/>
      <c r="F41" s="183"/>
    </row>
    <row r="42" spans="1:6" ht="12.75">
      <c r="A42" s="14" t="s">
        <v>552</v>
      </c>
      <c r="B42" s="60"/>
      <c r="C42" s="60"/>
      <c r="D42" s="60"/>
      <c r="E42" s="60"/>
      <c r="F42" s="183"/>
    </row>
    <row r="43" spans="1:6" ht="12.75">
      <c r="A43" s="61" t="s">
        <v>553</v>
      </c>
      <c r="B43" s="60"/>
      <c r="C43" s="60"/>
      <c r="D43" s="60"/>
      <c r="E43" s="60"/>
      <c r="F43" s="238">
        <v>30000</v>
      </c>
    </row>
    <row r="44" spans="2:6" ht="6" customHeight="1">
      <c r="B44" s="60"/>
      <c r="C44" s="60"/>
      <c r="D44" s="60"/>
      <c r="E44" s="60"/>
      <c r="F44" s="183"/>
    </row>
    <row r="45" spans="1:6" ht="12.75">
      <c r="A45" s="14" t="s">
        <v>554</v>
      </c>
      <c r="B45" s="60"/>
      <c r="C45" s="60"/>
      <c r="D45" s="60"/>
      <c r="E45" s="60"/>
      <c r="F45" s="183"/>
    </row>
    <row r="46" spans="1:6" ht="12.75">
      <c r="A46" s="61" t="s">
        <v>555</v>
      </c>
      <c r="B46" s="60"/>
      <c r="C46" s="60"/>
      <c r="D46" s="60"/>
      <c r="E46" s="60"/>
      <c r="F46" s="238">
        <v>1099350</v>
      </c>
    </row>
    <row r="47" spans="2:6" ht="12.75">
      <c r="B47" s="60"/>
      <c r="C47" s="60"/>
      <c r="D47" s="60"/>
      <c r="E47" s="60"/>
      <c r="F47" s="233"/>
    </row>
    <row r="48" spans="1:6" ht="12.75">
      <c r="A48" s="61"/>
      <c r="B48" s="60"/>
      <c r="C48" s="60"/>
      <c r="D48" s="60"/>
      <c r="E48" s="60"/>
      <c r="F48" s="183"/>
    </row>
    <row r="49" spans="1:6" ht="13.5" thickBot="1">
      <c r="A49" s="14"/>
      <c r="B49" s="60"/>
      <c r="C49" s="60"/>
      <c r="D49" s="60"/>
      <c r="E49" s="60"/>
      <c r="F49" s="236">
        <f>SUM(F30:F48)</f>
        <v>1625581.8399999999</v>
      </c>
    </row>
    <row r="50" spans="1:6" ht="13.5" thickTop="1">
      <c r="A50" s="61"/>
      <c r="B50" s="60"/>
      <c r="C50" s="60"/>
      <c r="D50" s="60"/>
      <c r="E50" s="60"/>
      <c r="F50" s="18"/>
    </row>
    <row r="51" spans="1:6" ht="12.75">
      <c r="A51" s="14"/>
      <c r="B51" s="60"/>
      <c r="C51" s="60"/>
      <c r="D51" s="60"/>
      <c r="E51" s="60"/>
      <c r="F51" s="18"/>
    </row>
    <row r="52" spans="1:6" ht="12.75">
      <c r="A52" s="14"/>
      <c r="B52" s="60"/>
      <c r="C52" s="60"/>
      <c r="D52" s="60"/>
      <c r="E52" s="60"/>
      <c r="F52" s="18"/>
    </row>
    <row r="53" spans="1:6" ht="12.75">
      <c r="A53" s="14"/>
      <c r="B53" s="60"/>
      <c r="C53" s="60"/>
      <c r="D53" s="60"/>
      <c r="E53" s="60"/>
      <c r="F53" s="18"/>
    </row>
    <row r="54" spans="1:6" ht="12.75">
      <c r="A54" s="61"/>
      <c r="B54" s="60"/>
      <c r="C54" s="60"/>
      <c r="D54" s="60"/>
      <c r="E54" s="60"/>
      <c r="F54" s="18"/>
    </row>
    <row r="55" spans="1:6" ht="12" customHeight="1">
      <c r="A55" s="61"/>
      <c r="B55" s="60"/>
      <c r="C55" s="60"/>
      <c r="D55" s="60"/>
      <c r="E55" s="60"/>
      <c r="F55" s="18"/>
    </row>
    <row r="56" spans="1:7" ht="12.75">
      <c r="A56" s="42"/>
      <c r="B56" s="62"/>
      <c r="C56" s="62"/>
      <c r="D56" s="62"/>
      <c r="E56" s="62"/>
      <c r="F56" s="63"/>
      <c r="G56" s="64"/>
    </row>
    <row r="57" spans="1:7" ht="12.75">
      <c r="A57" s="14"/>
      <c r="B57" s="62"/>
      <c r="C57" s="62"/>
      <c r="D57" s="62"/>
      <c r="E57" s="62"/>
      <c r="F57" s="63"/>
      <c r="G57" s="64"/>
    </row>
    <row r="58" spans="1:7" ht="12.75">
      <c r="A58" s="42"/>
      <c r="B58" s="62"/>
      <c r="C58" s="62"/>
      <c r="D58" s="62"/>
      <c r="E58" s="62"/>
      <c r="F58" s="63"/>
      <c r="G58" s="64"/>
    </row>
    <row r="59" spans="1:7" ht="12.75">
      <c r="A59" s="14"/>
      <c r="B59" s="62"/>
      <c r="C59" s="62"/>
      <c r="D59" s="62"/>
      <c r="E59" s="62"/>
      <c r="F59" s="63"/>
      <c r="G59" s="64"/>
    </row>
    <row r="60" spans="1:7" ht="12.75">
      <c r="A60" s="14"/>
      <c r="B60" s="62"/>
      <c r="C60" s="62"/>
      <c r="D60" s="62"/>
      <c r="E60" s="62"/>
      <c r="F60" s="63"/>
      <c r="G60" s="64"/>
    </row>
    <row r="61" spans="1:7" ht="12.75">
      <c r="A61" s="14"/>
      <c r="B61" s="62"/>
      <c r="C61" s="62"/>
      <c r="D61" s="62"/>
      <c r="E61" s="62"/>
      <c r="F61" s="63"/>
      <c r="G61" s="64"/>
    </row>
    <row r="62" spans="1:7" ht="12.75">
      <c r="A62" s="14"/>
      <c r="B62" s="62"/>
      <c r="C62" s="62"/>
      <c r="D62" s="62"/>
      <c r="E62" s="62"/>
      <c r="F62" s="63"/>
      <c r="G62" s="64"/>
    </row>
    <row r="63" spans="1:7" ht="12.75">
      <c r="A63" s="14"/>
      <c r="B63" s="62"/>
      <c r="C63" s="62"/>
      <c r="D63" s="62"/>
      <c r="E63" s="62"/>
      <c r="F63" s="63"/>
      <c r="G63" s="64"/>
    </row>
    <row r="64" spans="1:7" ht="12.75">
      <c r="A64" s="14"/>
      <c r="B64" s="62"/>
      <c r="C64" s="62"/>
      <c r="D64" s="62"/>
      <c r="E64" s="62"/>
      <c r="F64" s="63"/>
      <c r="G64" s="64"/>
    </row>
    <row r="65" spans="1:7" ht="12.75">
      <c r="A65" s="14"/>
      <c r="B65" s="62"/>
      <c r="C65" s="62"/>
      <c r="D65" s="62"/>
      <c r="E65" s="62"/>
      <c r="F65" s="63"/>
      <c r="G65" s="64"/>
    </row>
    <row r="66" spans="1:7" ht="12.75">
      <c r="A66" s="14"/>
      <c r="B66" s="62"/>
      <c r="C66" s="62"/>
      <c r="D66" s="62"/>
      <c r="E66" s="62"/>
      <c r="F66" s="63"/>
      <c r="G66" s="64"/>
    </row>
    <row r="67" spans="1:7" ht="12.75">
      <c r="A67" s="14"/>
      <c r="B67" s="62"/>
      <c r="C67" s="62"/>
      <c r="D67" s="62"/>
      <c r="E67" s="62"/>
      <c r="F67" s="63"/>
      <c r="G67" s="64"/>
    </row>
    <row r="68" spans="1:7" ht="12.75">
      <c r="A68" s="14"/>
      <c r="B68" s="62"/>
      <c r="C68" s="62"/>
      <c r="D68" s="62"/>
      <c r="E68" s="62"/>
      <c r="F68" s="63"/>
      <c r="G68" s="64"/>
    </row>
    <row r="69" spans="1:7" ht="12.75">
      <c r="A69" s="14"/>
      <c r="B69" s="62"/>
      <c r="C69" s="62"/>
      <c r="D69" s="62"/>
      <c r="E69" s="62"/>
      <c r="F69" s="63"/>
      <c r="G69" s="64"/>
    </row>
    <row r="70" spans="1:7" ht="12.75">
      <c r="A70" s="14"/>
      <c r="B70" s="62"/>
      <c r="C70" s="62"/>
      <c r="D70" s="62"/>
      <c r="E70" s="62"/>
      <c r="F70" s="63"/>
      <c r="G70" s="64"/>
    </row>
    <row r="71" spans="1:7" ht="12.75">
      <c r="A71" s="14"/>
      <c r="B71" s="62"/>
      <c r="C71" s="62"/>
      <c r="D71" s="62"/>
      <c r="E71" s="62"/>
      <c r="F71" s="63"/>
      <c r="G71" s="64"/>
    </row>
    <row r="72" spans="1:7" ht="12.75">
      <c r="A72" s="14"/>
      <c r="B72" s="62"/>
      <c r="C72" s="62"/>
      <c r="D72" s="62"/>
      <c r="E72" s="62"/>
      <c r="F72" s="63"/>
      <c r="G72" s="64"/>
    </row>
    <row r="73" spans="1:6" ht="12.75">
      <c r="A73" s="65"/>
      <c r="B73" s="66"/>
      <c r="C73" s="66"/>
      <c r="D73" s="66"/>
      <c r="E73" s="66"/>
      <c r="F73" s="65"/>
    </row>
    <row r="74" spans="1:6" ht="12.75">
      <c r="A74" s="65"/>
      <c r="B74" s="66"/>
      <c r="C74" s="66"/>
      <c r="D74" s="66"/>
      <c r="E74" s="66"/>
      <c r="F74" s="65"/>
    </row>
    <row r="75" spans="1:6" ht="12.75">
      <c r="A75" s="65"/>
      <c r="B75" s="66"/>
      <c r="C75" s="66"/>
      <c r="D75" s="66"/>
      <c r="E75" s="66"/>
      <c r="F75" s="65"/>
    </row>
  </sheetData>
  <sheetProtection password="8451" sheet="1" objects="1" scenarios="1"/>
  <mergeCells count="5">
    <mergeCell ref="A5:F5"/>
    <mergeCell ref="E1:F1"/>
    <mergeCell ref="A2:F2"/>
    <mergeCell ref="A3:F3"/>
    <mergeCell ref="A4:F4"/>
  </mergeCells>
  <printOptions/>
  <pageMargins left="0.96" right="0.35" top="0.58" bottom="0.787401574803149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selection activeCell="I57" activeCellId="1" sqref="I43 I57"/>
    </sheetView>
  </sheetViews>
  <sheetFormatPr defaultColWidth="13.421875" defaultRowHeight="12.75"/>
  <cols>
    <col min="1" max="1" width="41.140625" style="2" customWidth="1"/>
    <col min="2" max="2" width="11.8515625" style="25" customWidth="1"/>
    <col min="3" max="4" width="12.00390625" style="25" customWidth="1"/>
    <col min="5" max="5" width="11.8515625" style="25" bestFit="1" customWidth="1"/>
    <col min="6" max="6" width="6.57421875" style="2" bestFit="1" customWidth="1"/>
    <col min="7" max="7" width="1.8515625" style="2" customWidth="1"/>
    <col min="8" max="16384" width="13.421875" style="2" customWidth="1"/>
  </cols>
  <sheetData>
    <row r="1" spans="5:6" ht="12.75">
      <c r="E1" s="245" t="s">
        <v>10</v>
      </c>
      <c r="F1" s="245"/>
    </row>
    <row r="2" spans="1:6" ht="15">
      <c r="A2" s="244" t="s">
        <v>398</v>
      </c>
      <c r="B2" s="244"/>
      <c r="C2" s="244"/>
      <c r="D2" s="244"/>
      <c r="E2" s="244"/>
      <c r="F2" s="244"/>
    </row>
    <row r="3" spans="1:6" ht="15">
      <c r="A3" s="246" t="s">
        <v>557</v>
      </c>
      <c r="B3" s="246"/>
      <c r="C3" s="246"/>
      <c r="D3" s="246"/>
      <c r="E3" s="246"/>
      <c r="F3" s="246"/>
    </row>
    <row r="4" spans="1:6" ht="15">
      <c r="A4" s="244" t="s">
        <v>405</v>
      </c>
      <c r="B4" s="244"/>
      <c r="C4" s="244"/>
      <c r="D4" s="244"/>
      <c r="E4" s="244"/>
      <c r="F4" s="244"/>
    </row>
    <row r="5" spans="1:7" ht="15">
      <c r="A5" s="244" t="s">
        <v>531</v>
      </c>
      <c r="B5" s="244"/>
      <c r="C5" s="244"/>
      <c r="D5" s="244"/>
      <c r="E5" s="244"/>
      <c r="F5" s="244"/>
      <c r="G5" s="41"/>
    </row>
    <row r="6" spans="1:6" ht="8.25" customHeight="1">
      <c r="A6" s="19"/>
      <c r="B6" s="19"/>
      <c r="C6" s="19"/>
      <c r="D6" s="19"/>
      <c r="E6" s="19"/>
      <c r="F6" s="19"/>
    </row>
    <row r="7" spans="1:6" ht="12.75">
      <c r="A7" s="81"/>
      <c r="B7" s="81"/>
      <c r="C7" s="81"/>
      <c r="D7" s="81"/>
      <c r="E7" s="81"/>
      <c r="F7" s="3"/>
    </row>
    <row r="8" spans="1:6" ht="12.75">
      <c r="A8" s="106" t="s">
        <v>19</v>
      </c>
      <c r="B8" s="107" t="s">
        <v>483</v>
      </c>
      <c r="C8" s="107" t="s">
        <v>484</v>
      </c>
      <c r="D8" s="107" t="s">
        <v>520</v>
      </c>
      <c r="E8" s="106" t="s">
        <v>20</v>
      </c>
      <c r="F8" s="96" t="s">
        <v>21</v>
      </c>
    </row>
    <row r="9" spans="1:6" ht="12.75">
      <c r="A9" s="81"/>
      <c r="B9" s="81"/>
      <c r="C9" s="81"/>
      <c r="D9" s="81"/>
      <c r="E9" s="81"/>
      <c r="F9" s="3"/>
    </row>
    <row r="10" spans="2:6" ht="6" customHeight="1">
      <c r="B10" s="33"/>
      <c r="E10" s="33"/>
      <c r="F10" s="67"/>
    </row>
    <row r="11" spans="1:6" ht="12.75">
      <c r="A11" s="7" t="s">
        <v>60</v>
      </c>
      <c r="B11" s="185">
        <v>4409273.29</v>
      </c>
      <c r="C11" s="185">
        <f>4428023.17+114299.53+47958.9</f>
        <v>4590281.600000001</v>
      </c>
      <c r="D11" s="185">
        <v>5216528.52</v>
      </c>
      <c r="E11" s="186">
        <f>SUM(B11:D11)</f>
        <v>14216083.41</v>
      </c>
      <c r="F11" s="187">
        <f aca="true" t="shared" si="0" ref="F11:F39">(E11/$E$112)*100</f>
        <v>2.8674791883413038</v>
      </c>
    </row>
    <row r="12" spans="1:6" ht="12.75">
      <c r="A12" s="7" t="s">
        <v>455</v>
      </c>
      <c r="B12" s="185"/>
      <c r="C12" s="185">
        <v>18626.85</v>
      </c>
      <c r="D12" s="185">
        <v>18626.85</v>
      </c>
      <c r="E12" s="186">
        <f aca="true" t="shared" si="1" ref="E12:E39">SUM(B12:D12)</f>
        <v>37253.7</v>
      </c>
      <c r="F12" s="187">
        <f t="shared" si="0"/>
        <v>0.007514320671723634</v>
      </c>
    </row>
    <row r="13" spans="1:6" ht="12.75">
      <c r="A13" s="7" t="s">
        <v>465</v>
      </c>
      <c r="B13" s="185"/>
      <c r="C13" s="185">
        <v>30577.24</v>
      </c>
      <c r="D13" s="185"/>
      <c r="E13" s="186">
        <f t="shared" si="1"/>
        <v>30577.24</v>
      </c>
      <c r="F13" s="187">
        <f t="shared" si="0"/>
        <v>0.006167633996522623</v>
      </c>
    </row>
    <row r="14" spans="1:6" ht="12.75">
      <c r="A14" s="7" t="s">
        <v>309</v>
      </c>
      <c r="B14" s="185">
        <v>160282.29</v>
      </c>
      <c r="C14" s="185">
        <f>63869.95+139528.42</f>
        <v>203398.37</v>
      </c>
      <c r="D14" s="185">
        <v>204211.52</v>
      </c>
      <c r="E14" s="186">
        <f t="shared" si="1"/>
        <v>567892.18</v>
      </c>
      <c r="F14" s="187">
        <f t="shared" si="0"/>
        <v>0.1145476542594212</v>
      </c>
    </row>
    <row r="15" spans="1:6" ht="12.75">
      <c r="A15" s="7" t="s">
        <v>435</v>
      </c>
      <c r="B15" s="185"/>
      <c r="C15" s="185">
        <v>4637553.64</v>
      </c>
      <c r="D15" s="185"/>
      <c r="E15" s="186">
        <f t="shared" si="1"/>
        <v>4637553.64</v>
      </c>
      <c r="F15" s="187">
        <f t="shared" si="0"/>
        <v>0.9354256136512397</v>
      </c>
    </row>
    <row r="16" spans="1:6" ht="12.75">
      <c r="A16" s="7" t="s">
        <v>436</v>
      </c>
      <c r="B16" s="185"/>
      <c r="C16" s="185">
        <v>3062974.87</v>
      </c>
      <c r="D16" s="185"/>
      <c r="E16" s="186">
        <f t="shared" si="1"/>
        <v>3062974.87</v>
      </c>
      <c r="F16" s="187">
        <f t="shared" si="0"/>
        <v>0.617822535281355</v>
      </c>
    </row>
    <row r="17" spans="1:6" ht="12.75">
      <c r="A17" s="7" t="s">
        <v>437</v>
      </c>
      <c r="B17" s="185"/>
      <c r="C17" s="185">
        <v>6535287.52</v>
      </c>
      <c r="D17" s="185"/>
      <c r="E17" s="186">
        <f t="shared" si="1"/>
        <v>6535287.52</v>
      </c>
      <c r="F17" s="187">
        <f t="shared" si="0"/>
        <v>1.3182112409557571</v>
      </c>
    </row>
    <row r="18" spans="1:6" ht="12.75">
      <c r="A18" s="7" t="s">
        <v>438</v>
      </c>
      <c r="B18" s="185">
        <v>8762297.91</v>
      </c>
      <c r="C18" s="185">
        <v>8677478.71</v>
      </c>
      <c r="D18" s="185">
        <v>8932191.82</v>
      </c>
      <c r="E18" s="186">
        <f t="shared" si="1"/>
        <v>26371968.44</v>
      </c>
      <c r="F18" s="187">
        <f t="shared" si="0"/>
        <v>5.3194025721669345</v>
      </c>
    </row>
    <row r="19" spans="1:6" ht="12.75">
      <c r="A19" s="7" t="s">
        <v>61</v>
      </c>
      <c r="B19" s="185"/>
      <c r="C19" s="185"/>
      <c r="D19" s="185">
        <v>11029.1</v>
      </c>
      <c r="E19" s="186">
        <f t="shared" si="1"/>
        <v>11029.1</v>
      </c>
      <c r="F19" s="187">
        <f t="shared" si="0"/>
        <v>0.002224643300410621</v>
      </c>
    </row>
    <row r="20" spans="1:6" ht="12.75">
      <c r="A20" s="7" t="s">
        <v>382</v>
      </c>
      <c r="B20" s="185"/>
      <c r="C20" s="185"/>
      <c r="D20" s="185">
        <v>38252.2</v>
      </c>
      <c r="E20" s="186">
        <f t="shared" si="1"/>
        <v>38252.2</v>
      </c>
      <c r="F20" s="187">
        <f t="shared" si="0"/>
        <v>0.007715724805828866</v>
      </c>
    </row>
    <row r="21" spans="1:6" ht="12.75">
      <c r="A21" s="7" t="s">
        <v>386</v>
      </c>
      <c r="B21" s="185"/>
      <c r="C21" s="185"/>
      <c r="D21" s="185">
        <v>6000.7</v>
      </c>
      <c r="E21" s="186">
        <f t="shared" si="1"/>
        <v>6000.7</v>
      </c>
      <c r="F21" s="187">
        <f t="shared" si="0"/>
        <v>0.0012103813595646074</v>
      </c>
    </row>
    <row r="22" spans="1:6" ht="12.75">
      <c r="A22" s="7" t="s">
        <v>214</v>
      </c>
      <c r="B22" s="185">
        <v>32710.34</v>
      </c>
      <c r="C22" s="185"/>
      <c r="D22" s="185">
        <v>16215.06</v>
      </c>
      <c r="E22" s="186">
        <f t="shared" si="1"/>
        <v>48925.4</v>
      </c>
      <c r="F22" s="187">
        <f t="shared" si="0"/>
        <v>0.009868580693792766</v>
      </c>
    </row>
    <row r="23" spans="1:6" ht="12.75">
      <c r="A23" s="7" t="s">
        <v>439</v>
      </c>
      <c r="B23" s="185">
        <f>-2059.45+6000</f>
        <v>3940.55</v>
      </c>
      <c r="E23" s="186">
        <f t="shared" si="1"/>
        <v>3940.55</v>
      </c>
      <c r="F23" s="187">
        <f t="shared" si="0"/>
        <v>0.0007948353136187968</v>
      </c>
    </row>
    <row r="24" spans="1:6" ht="12.75">
      <c r="A24" s="7" t="s">
        <v>215</v>
      </c>
      <c r="B24" s="185">
        <v>3591814.88</v>
      </c>
      <c r="C24" s="185">
        <f>770417.68+2215617.72</f>
        <v>2986035.4000000004</v>
      </c>
      <c r="D24" s="185">
        <v>3720777.55</v>
      </c>
      <c r="E24" s="186">
        <f t="shared" si="1"/>
        <v>10298627.83</v>
      </c>
      <c r="F24" s="187">
        <f t="shared" si="0"/>
        <v>2.0773021738339366</v>
      </c>
    </row>
    <row r="25" spans="1:6" ht="12.75">
      <c r="A25" s="7" t="s">
        <v>62</v>
      </c>
      <c r="B25" s="185">
        <v>41600</v>
      </c>
      <c r="C25" s="185">
        <v>42120</v>
      </c>
      <c r="D25" s="185">
        <v>41600</v>
      </c>
      <c r="E25" s="186">
        <f t="shared" si="1"/>
        <v>125320</v>
      </c>
      <c r="F25" s="187">
        <f t="shared" si="0"/>
        <v>0.025277882910433216</v>
      </c>
    </row>
    <row r="26" spans="1:6" ht="12.75">
      <c r="A26" s="7" t="s">
        <v>63</v>
      </c>
      <c r="B26" s="185">
        <v>519940.45</v>
      </c>
      <c r="C26" s="185">
        <f>57000-8000</f>
        <v>49000</v>
      </c>
      <c r="D26" s="185">
        <v>96983.33</v>
      </c>
      <c r="E26" s="186">
        <f t="shared" si="1"/>
        <v>665923.7799999999</v>
      </c>
      <c r="F26" s="187">
        <f t="shared" si="0"/>
        <v>0.1343212842173084</v>
      </c>
    </row>
    <row r="27" spans="1:6" ht="12.75">
      <c r="A27" s="7" t="s">
        <v>64</v>
      </c>
      <c r="B27" s="185">
        <v>757522.28</v>
      </c>
      <c r="C27" s="185">
        <f>105123.48+37022.45</f>
        <v>142145.93</v>
      </c>
      <c r="D27" s="185">
        <v>105280.24</v>
      </c>
      <c r="E27" s="186">
        <f t="shared" si="1"/>
        <v>1004948.45</v>
      </c>
      <c r="F27" s="187">
        <f t="shared" si="0"/>
        <v>0.20270482963709982</v>
      </c>
    </row>
    <row r="28" spans="1:8" ht="12.75">
      <c r="A28" s="7" t="s">
        <v>65</v>
      </c>
      <c r="B28" s="185">
        <v>1482089.46</v>
      </c>
      <c r="C28" s="185">
        <f>34440.9+31537.5</f>
        <v>65978.4</v>
      </c>
      <c r="D28" s="185">
        <v>89622.87</v>
      </c>
      <c r="E28" s="186">
        <f t="shared" si="1"/>
        <v>1637690.73</v>
      </c>
      <c r="F28" s="187">
        <f t="shared" si="0"/>
        <v>0.33033318318258775</v>
      </c>
      <c r="H28" s="185"/>
    </row>
    <row r="29" spans="1:6" ht="12.75">
      <c r="A29" s="7" t="s">
        <v>66</v>
      </c>
      <c r="B29" s="185">
        <f>71571.45+120021.34</f>
        <v>191592.78999999998</v>
      </c>
      <c r="C29" s="185">
        <f>380</f>
        <v>380</v>
      </c>
      <c r="D29" s="185">
        <v>11848</v>
      </c>
      <c r="E29" s="186">
        <f t="shared" si="1"/>
        <v>203820.78999999998</v>
      </c>
      <c r="F29" s="187">
        <f t="shared" si="0"/>
        <v>0.04111201774921797</v>
      </c>
    </row>
    <row r="30" spans="1:6" ht="12.75">
      <c r="A30" s="7" t="s">
        <v>67</v>
      </c>
      <c r="B30" s="185">
        <f>113150.71+71482.7</f>
        <v>184633.41</v>
      </c>
      <c r="C30" s="185">
        <f>11993</f>
        <v>11993</v>
      </c>
      <c r="D30" s="185">
        <v>600</v>
      </c>
      <c r="E30" s="186">
        <f t="shared" si="1"/>
        <v>197226.41</v>
      </c>
      <c r="F30" s="187">
        <f t="shared" si="0"/>
        <v>0.039781887159472513</v>
      </c>
    </row>
    <row r="31" spans="1:6" ht="12.75">
      <c r="A31" s="7" t="s">
        <v>440</v>
      </c>
      <c r="B31" s="185"/>
      <c r="C31" s="185">
        <v>200000</v>
      </c>
      <c r="D31" s="185">
        <v>200000</v>
      </c>
      <c r="E31" s="186">
        <f t="shared" si="1"/>
        <v>400000</v>
      </c>
      <c r="F31" s="187">
        <f t="shared" si="0"/>
        <v>0.08068267765858034</v>
      </c>
    </row>
    <row r="32" spans="1:6" ht="12.75">
      <c r="A32" s="7" t="s">
        <v>376</v>
      </c>
      <c r="B32" s="185"/>
      <c r="C32" s="185">
        <v>22958.65</v>
      </c>
      <c r="D32" s="185"/>
      <c r="E32" s="186">
        <f t="shared" si="1"/>
        <v>22958.65</v>
      </c>
      <c r="F32" s="187">
        <f t="shared" si="0"/>
        <v>0.004630913393565413</v>
      </c>
    </row>
    <row r="33" spans="1:6" ht="12.75">
      <c r="A33" s="7" t="s">
        <v>68</v>
      </c>
      <c r="B33" s="185"/>
      <c r="C33" s="185">
        <v>56046.1</v>
      </c>
      <c r="D33" s="185">
        <v>25300</v>
      </c>
      <c r="E33" s="186">
        <f t="shared" si="1"/>
        <v>81346.1</v>
      </c>
      <c r="F33" s="187">
        <f t="shared" si="0"/>
        <v>0.016408052912706604</v>
      </c>
    </row>
    <row r="34" spans="1:6" ht="12.75">
      <c r="A34" s="7" t="s">
        <v>375</v>
      </c>
      <c r="B34" s="185"/>
      <c r="C34" s="185">
        <v>113321.34</v>
      </c>
      <c r="D34" s="185"/>
      <c r="E34" s="186">
        <f t="shared" si="1"/>
        <v>113321.34</v>
      </c>
      <c r="F34" s="187">
        <f t="shared" si="0"/>
        <v>0.022857672867645965</v>
      </c>
    </row>
    <row r="35" spans="1:6" ht="12.75">
      <c r="A35" s="7" t="s">
        <v>69</v>
      </c>
      <c r="B35" s="185">
        <v>90000</v>
      </c>
      <c r="C35" s="185">
        <f>26797.03+31608.96</f>
        <v>58405.99</v>
      </c>
      <c r="D35" s="185">
        <v>65025.07</v>
      </c>
      <c r="E35" s="186">
        <f t="shared" si="1"/>
        <v>213431.06</v>
      </c>
      <c r="F35" s="187">
        <f t="shared" si="0"/>
        <v>0.04305047354077279</v>
      </c>
    </row>
    <row r="36" spans="1:6" ht="12.75">
      <c r="A36" s="7" t="s">
        <v>70</v>
      </c>
      <c r="B36" s="185">
        <v>3338214.56</v>
      </c>
      <c r="C36" s="185">
        <f>145995+22000</f>
        <v>167995</v>
      </c>
      <c r="D36" s="185">
        <v>273416.01</v>
      </c>
      <c r="E36" s="186">
        <f t="shared" si="1"/>
        <v>3779625.5700000003</v>
      </c>
      <c r="F36" s="187">
        <f t="shared" si="0"/>
        <v>0.762375778836095</v>
      </c>
    </row>
    <row r="37" spans="1:6" ht="12.75">
      <c r="A37" s="7" t="s">
        <v>515</v>
      </c>
      <c r="B37" s="185">
        <v>5000</v>
      </c>
      <c r="C37" s="185">
        <v>1969.26</v>
      </c>
      <c r="D37" s="185"/>
      <c r="E37" s="186">
        <f t="shared" si="1"/>
        <v>6969.26</v>
      </c>
      <c r="F37" s="187">
        <f t="shared" si="0"/>
        <v>0.0014057463952470938</v>
      </c>
    </row>
    <row r="38" spans="1:6" ht="12.75">
      <c r="A38" s="7" t="s">
        <v>173</v>
      </c>
      <c r="B38" s="185">
        <v>144940.5</v>
      </c>
      <c r="C38" s="185">
        <f>12000-8000</f>
        <v>4000</v>
      </c>
      <c r="D38" s="185">
        <v>33983.34</v>
      </c>
      <c r="E38" s="186">
        <f>SUM(B38:D38)</f>
        <v>182923.84</v>
      </c>
      <c r="F38" s="187">
        <f t="shared" si="0"/>
        <v>0.036896963046974304</v>
      </c>
    </row>
    <row r="39" spans="1:6" ht="12.75">
      <c r="A39" s="7" t="s">
        <v>533</v>
      </c>
      <c r="B39" s="2"/>
      <c r="C39" s="2"/>
      <c r="D39" s="185">
        <v>1950026.24</v>
      </c>
      <c r="E39" s="186">
        <f t="shared" si="1"/>
        <v>1950026.24</v>
      </c>
      <c r="F39" s="187">
        <f t="shared" si="0"/>
        <v>0.3933333463692335</v>
      </c>
    </row>
    <row r="40" spans="1:6" ht="12.75">
      <c r="A40" s="7"/>
      <c r="B40" s="185"/>
      <c r="C40" s="185"/>
      <c r="D40" s="185"/>
      <c r="E40" s="186"/>
      <c r="F40" s="187"/>
    </row>
    <row r="41" spans="1:7" ht="12.75">
      <c r="A41" s="20" t="s">
        <v>274</v>
      </c>
      <c r="B41" s="188">
        <f>SUM(B11:B39)</f>
        <v>23715852.71</v>
      </c>
      <c r="C41" s="188">
        <f>SUM(C11:C39)</f>
        <v>31678527.87</v>
      </c>
      <c r="D41" s="188">
        <f>SUM(D11:D39)</f>
        <v>21057518.419999994</v>
      </c>
      <c r="E41" s="188">
        <f>SUM(E11:E39)</f>
        <v>76451899.00000003</v>
      </c>
      <c r="F41" s="188">
        <f>SUM(F11:F39)</f>
        <v>15.420859808508352</v>
      </c>
      <c r="G41" s="19"/>
    </row>
    <row r="42" spans="2:6" ht="12.75">
      <c r="B42" s="115"/>
      <c r="C42" s="115"/>
      <c r="D42" s="115"/>
      <c r="E42" s="248"/>
      <c r="F42" s="248"/>
    </row>
    <row r="43" spans="1:7" ht="12.75" customHeight="1">
      <c r="A43" s="3" t="s">
        <v>329</v>
      </c>
      <c r="B43" s="189"/>
      <c r="C43" s="189"/>
      <c r="D43" s="189"/>
      <c r="E43" s="186"/>
      <c r="F43" s="187"/>
      <c r="G43" s="11" t="s">
        <v>23</v>
      </c>
    </row>
    <row r="44" spans="1:7" ht="12.75">
      <c r="A44" s="7" t="s">
        <v>264</v>
      </c>
      <c r="B44" s="185">
        <v>505000</v>
      </c>
      <c r="C44" s="185">
        <f>65000-20000</f>
        <v>45000</v>
      </c>
      <c r="D44" s="185">
        <v>370000</v>
      </c>
      <c r="E44" s="186">
        <f aca="true" t="shared" si="2" ref="E44:E49">SUM(B44:D44)</f>
        <v>920000</v>
      </c>
      <c r="F44" s="190">
        <f aca="true" t="shared" si="3" ref="F44:F49">(E44/$E$112)*100</f>
        <v>0.18557015861473478</v>
      </c>
      <c r="G44" s="11"/>
    </row>
    <row r="45" spans="1:7" ht="12.75">
      <c r="A45" s="7" t="s">
        <v>263</v>
      </c>
      <c r="B45" s="185">
        <v>2331000</v>
      </c>
      <c r="C45" s="185">
        <v>2641500</v>
      </c>
      <c r="D45" s="185">
        <v>1973000</v>
      </c>
      <c r="E45" s="186">
        <f t="shared" si="2"/>
        <v>6945500</v>
      </c>
      <c r="F45" s="190">
        <f t="shared" si="3"/>
        <v>1.4009538441941742</v>
      </c>
      <c r="G45" s="11"/>
    </row>
    <row r="46" spans="1:7" ht="12.75">
      <c r="A46" s="7" t="s">
        <v>296</v>
      </c>
      <c r="B46" s="185">
        <v>20000</v>
      </c>
      <c r="C46" s="185"/>
      <c r="D46" s="185">
        <v>35000</v>
      </c>
      <c r="E46" s="186">
        <f t="shared" si="2"/>
        <v>55000</v>
      </c>
      <c r="F46" s="190">
        <f t="shared" si="3"/>
        <v>0.011093868178054795</v>
      </c>
      <c r="G46" s="11"/>
    </row>
    <row r="47" spans="1:7" ht="12.75">
      <c r="A47" s="7" t="s">
        <v>518</v>
      </c>
      <c r="B47" s="185"/>
      <c r="C47" s="185">
        <v>42000</v>
      </c>
      <c r="D47" s="185">
        <v>87500</v>
      </c>
      <c r="E47" s="186">
        <f t="shared" si="2"/>
        <v>129500</v>
      </c>
      <c r="F47" s="190">
        <f t="shared" si="3"/>
        <v>0.02612101689196538</v>
      </c>
      <c r="G47" s="11"/>
    </row>
    <row r="48" spans="1:7" ht="12.75">
      <c r="A48" s="7" t="s">
        <v>374</v>
      </c>
      <c r="B48" s="185">
        <v>119359.57</v>
      </c>
      <c r="C48" s="185">
        <v>98958.85</v>
      </c>
      <c r="D48" s="185">
        <v>120012.69</v>
      </c>
      <c r="E48" s="186">
        <f t="shared" si="2"/>
        <v>338331.11</v>
      </c>
      <c r="F48" s="190">
        <f t="shared" si="3"/>
        <v>0.0682436497249992</v>
      </c>
      <c r="G48" s="11"/>
    </row>
    <row r="49" spans="1:7" ht="12.75">
      <c r="A49" s="20" t="s">
        <v>423</v>
      </c>
      <c r="B49" s="185">
        <v>50000</v>
      </c>
      <c r="C49" s="185"/>
      <c r="D49" s="185">
        <v>9475</v>
      </c>
      <c r="E49" s="186">
        <f t="shared" si="2"/>
        <v>59475</v>
      </c>
      <c r="F49" s="190">
        <f t="shared" si="3"/>
        <v>0.011996505634360163</v>
      </c>
      <c r="G49" s="11" t="s">
        <v>23</v>
      </c>
    </row>
    <row r="50" spans="1:6" ht="12.75">
      <c r="A50" s="7"/>
      <c r="B50" s="185"/>
      <c r="C50" s="185"/>
      <c r="D50" s="185"/>
      <c r="E50" s="186"/>
      <c r="F50" s="190"/>
    </row>
    <row r="51" spans="1:6" ht="12.75">
      <c r="A51" s="70" t="s">
        <v>337</v>
      </c>
      <c r="B51" s="167">
        <f>SUM(B44:B49)</f>
        <v>3025359.57</v>
      </c>
      <c r="C51" s="167">
        <f>SUM(C44:C49)</f>
        <v>2827458.85</v>
      </c>
      <c r="D51" s="167">
        <f>SUM(D44:D49)</f>
        <v>2594987.69</v>
      </c>
      <c r="E51" s="167">
        <f>SUM(E44:E49)</f>
        <v>8447806.11</v>
      </c>
      <c r="F51" s="167">
        <f>SUM(F44:F49)</f>
        <v>1.7039790432382884</v>
      </c>
    </row>
    <row r="52" spans="5:6" ht="12.75">
      <c r="E52" s="245" t="s">
        <v>10</v>
      </c>
      <c r="F52" s="245"/>
    </row>
    <row r="53" spans="1:6" ht="15">
      <c r="A53" s="244" t="s">
        <v>398</v>
      </c>
      <c r="B53" s="244"/>
      <c r="C53" s="244"/>
      <c r="D53" s="244"/>
      <c r="E53" s="244"/>
      <c r="F53" s="244"/>
    </row>
    <row r="54" spans="1:6" ht="15">
      <c r="A54" s="246" t="s">
        <v>557</v>
      </c>
      <c r="B54" s="246"/>
      <c r="C54" s="246"/>
      <c r="D54" s="246"/>
      <c r="E54" s="246"/>
      <c r="F54" s="246"/>
    </row>
    <row r="55" spans="1:6" ht="15">
      <c r="A55" s="244" t="s">
        <v>405</v>
      </c>
      <c r="B55" s="244"/>
      <c r="C55" s="244"/>
      <c r="D55" s="244"/>
      <c r="E55" s="244"/>
      <c r="F55" s="244"/>
    </row>
    <row r="56" spans="1:7" ht="15">
      <c r="A56" s="244" t="s">
        <v>531</v>
      </c>
      <c r="B56" s="244"/>
      <c r="C56" s="244"/>
      <c r="D56" s="244"/>
      <c r="E56" s="244"/>
      <c r="F56" s="244"/>
      <c r="G56" s="41"/>
    </row>
    <row r="57" spans="1:6" ht="8.25" customHeight="1">
      <c r="A57" s="19"/>
      <c r="B57" s="19"/>
      <c r="C57" s="19"/>
      <c r="D57" s="19"/>
      <c r="E57" s="19"/>
      <c r="F57" s="19"/>
    </row>
    <row r="58" spans="1:6" ht="12.75">
      <c r="A58" s="81"/>
      <c r="B58" s="81"/>
      <c r="C58" s="81"/>
      <c r="D58" s="81"/>
      <c r="E58" s="81"/>
      <c r="F58" s="3"/>
    </row>
    <row r="59" spans="1:6" ht="12.75">
      <c r="A59" s="106" t="s">
        <v>19</v>
      </c>
      <c r="B59" s="107" t="s">
        <v>483</v>
      </c>
      <c r="C59" s="107" t="s">
        <v>484</v>
      </c>
      <c r="D59" s="107" t="s">
        <v>520</v>
      </c>
      <c r="E59" s="106" t="s">
        <v>20</v>
      </c>
      <c r="F59" s="96" t="s">
        <v>21</v>
      </c>
    </row>
    <row r="60" spans="2:6" ht="12.75" customHeight="1">
      <c r="B60" s="33"/>
      <c r="E60" s="33"/>
      <c r="F60" s="67"/>
    </row>
    <row r="61" spans="1:6" ht="12.75">
      <c r="A61" s="3" t="s">
        <v>332</v>
      </c>
      <c r="B61" s="33"/>
      <c r="C61" s="33"/>
      <c r="D61" s="33"/>
      <c r="E61" s="34"/>
      <c r="F61" s="69"/>
    </row>
    <row r="62" spans="1:6" ht="12.75">
      <c r="A62" s="3"/>
      <c r="B62" s="33"/>
      <c r="C62" s="33"/>
      <c r="D62" s="33"/>
      <c r="E62" s="34"/>
      <c r="F62" s="69"/>
    </row>
    <row r="63" spans="1:7" ht="12.75">
      <c r="A63" s="20" t="s">
        <v>265</v>
      </c>
      <c r="B63" s="33"/>
      <c r="C63" s="33"/>
      <c r="D63" s="33"/>
      <c r="E63" s="186"/>
      <c r="F63" s="190"/>
      <c r="G63" s="11" t="s">
        <v>23</v>
      </c>
    </row>
    <row r="64" spans="1:6" ht="12.75">
      <c r="A64" s="7" t="s">
        <v>261</v>
      </c>
      <c r="B64" s="185">
        <v>-89985.11</v>
      </c>
      <c r="C64" s="185">
        <v>36006.5</v>
      </c>
      <c r="D64" s="185">
        <v>146531.68</v>
      </c>
      <c r="E64" s="186">
        <f>SUM(B64:D64)</f>
        <v>92553.06999999999</v>
      </c>
      <c r="F64" s="190">
        <f>(E64/$E$112)*100</f>
        <v>0.01866857378280505</v>
      </c>
    </row>
    <row r="65" spans="1:7" ht="12.75">
      <c r="A65" s="20" t="s">
        <v>464</v>
      </c>
      <c r="B65" s="185"/>
      <c r="C65" s="185"/>
      <c r="D65" s="185"/>
      <c r="E65" s="186"/>
      <c r="F65" s="190"/>
      <c r="G65" s="11" t="s">
        <v>23</v>
      </c>
    </row>
    <row r="66" spans="1:6" ht="12.75">
      <c r="A66" s="7" t="s">
        <v>94</v>
      </c>
      <c r="B66" s="185"/>
      <c r="C66" s="185"/>
      <c r="D66" s="185">
        <v>-500000</v>
      </c>
      <c r="E66" s="186">
        <f>SUM(B66:D66)</f>
        <v>-500000</v>
      </c>
      <c r="F66" s="190">
        <f>(E66/$E$112)*100</f>
        <v>-0.10085334707322542</v>
      </c>
    </row>
    <row r="67" spans="1:7" ht="12.75">
      <c r="A67" s="20" t="s">
        <v>339</v>
      </c>
      <c r="B67" s="185"/>
      <c r="C67" s="185"/>
      <c r="D67" s="185"/>
      <c r="E67" s="186"/>
      <c r="F67" s="190"/>
      <c r="G67" s="11" t="s">
        <v>23</v>
      </c>
    </row>
    <row r="68" spans="1:6" ht="12.75">
      <c r="A68" s="7" t="s">
        <v>338</v>
      </c>
      <c r="B68" s="185">
        <v>22762.22</v>
      </c>
      <c r="C68" s="185">
        <v>11381.11</v>
      </c>
      <c r="D68" s="185">
        <v>11381.11</v>
      </c>
      <c r="E68" s="186">
        <f>SUM(B68:D68)</f>
        <v>45524.44</v>
      </c>
      <c r="F68" s="190">
        <f>(E68/$E$112)*100</f>
        <v>0.009182584295268453</v>
      </c>
    </row>
    <row r="69" spans="1:7" ht="12.75">
      <c r="A69" s="235" t="s">
        <v>442</v>
      </c>
      <c r="B69" s="185"/>
      <c r="C69" s="185"/>
      <c r="D69" s="185"/>
      <c r="E69" s="186"/>
      <c r="F69" s="190"/>
      <c r="G69" s="11" t="s">
        <v>23</v>
      </c>
    </row>
    <row r="70" spans="1:6" ht="12.75">
      <c r="A70" s="7" t="s">
        <v>534</v>
      </c>
      <c r="B70" s="185"/>
      <c r="C70" s="185"/>
      <c r="D70" s="185">
        <v>19734</v>
      </c>
      <c r="E70" s="186">
        <f>SUM(B70:D70)</f>
        <v>19734</v>
      </c>
      <c r="F70" s="190">
        <f>(E70/$E$112)*100</f>
        <v>0.00398047990228606</v>
      </c>
    </row>
    <row r="71" spans="1:6" ht="12.75">
      <c r="A71" s="7"/>
      <c r="B71" s="185"/>
      <c r="C71" s="185"/>
      <c r="D71" s="185"/>
      <c r="E71" s="186"/>
      <c r="F71" s="190"/>
    </row>
    <row r="72" spans="1:6" ht="12.75">
      <c r="A72" s="70" t="s">
        <v>331</v>
      </c>
      <c r="B72" s="167">
        <f>SUM(B63:B71)</f>
        <v>-67222.89</v>
      </c>
      <c r="C72" s="167">
        <f>SUM(C63:C71)</f>
        <v>47387.61</v>
      </c>
      <c r="D72" s="167">
        <f>SUM(D63:D71)</f>
        <v>-322353.21</v>
      </c>
      <c r="E72" s="167">
        <f>SUM(E63:E71)</f>
        <v>-342188.49</v>
      </c>
      <c r="F72" s="167">
        <f>SUM(F63:F71)</f>
        <v>-0.06902170909286585</v>
      </c>
    </row>
    <row r="73" spans="1:6" ht="12.75">
      <c r="A73" s="40"/>
      <c r="B73" s="191"/>
      <c r="C73" s="191"/>
      <c r="D73" s="191"/>
      <c r="E73" s="191"/>
      <c r="F73" s="191"/>
    </row>
    <row r="74" spans="1:6" ht="12.75">
      <c r="A74" s="71" t="s">
        <v>334</v>
      </c>
      <c r="B74" s="188">
        <f>B51+B72</f>
        <v>2958136.6799999997</v>
      </c>
      <c r="C74" s="188">
        <f>C51+C72</f>
        <v>2874846.46</v>
      </c>
      <c r="D74" s="188">
        <f>D51+D72</f>
        <v>2272634.48</v>
      </c>
      <c r="E74" s="188">
        <f>E51+E72</f>
        <v>8105617.619999999</v>
      </c>
      <c r="F74" s="188">
        <f>F51+F72</f>
        <v>1.6349573341454227</v>
      </c>
    </row>
    <row r="75" spans="5:6" ht="12.75">
      <c r="E75" s="245" t="s">
        <v>10</v>
      </c>
      <c r="F75" s="245"/>
    </row>
    <row r="76" spans="1:6" ht="15">
      <c r="A76" s="244" t="s">
        <v>398</v>
      </c>
      <c r="B76" s="244"/>
      <c r="C76" s="244"/>
      <c r="D76" s="244"/>
      <c r="E76" s="244"/>
      <c r="F76" s="244"/>
    </row>
    <row r="77" spans="1:6" ht="15">
      <c r="A77" s="246" t="s">
        <v>557</v>
      </c>
      <c r="B77" s="246"/>
      <c r="C77" s="246"/>
      <c r="D77" s="246"/>
      <c r="E77" s="246"/>
      <c r="F77" s="246"/>
    </row>
    <row r="78" spans="1:6" ht="15">
      <c r="A78" s="244" t="s">
        <v>405</v>
      </c>
      <c r="B78" s="244"/>
      <c r="C78" s="244"/>
      <c r="D78" s="244"/>
      <c r="E78" s="244"/>
      <c r="F78" s="244"/>
    </row>
    <row r="79" spans="1:7" ht="15">
      <c r="A79" s="244" t="s">
        <v>531</v>
      </c>
      <c r="B79" s="244"/>
      <c r="C79" s="244"/>
      <c r="D79" s="244"/>
      <c r="E79" s="244"/>
      <c r="F79" s="244"/>
      <c r="G79" s="41"/>
    </row>
    <row r="80" spans="1:6" ht="8.25" customHeight="1">
      <c r="A80" s="19"/>
      <c r="B80" s="19"/>
      <c r="C80" s="19"/>
      <c r="D80" s="19"/>
      <c r="E80" s="19"/>
      <c r="F80" s="19"/>
    </row>
    <row r="81" spans="1:6" ht="12.75">
      <c r="A81" s="81"/>
      <c r="B81" s="81"/>
      <c r="C81" s="81"/>
      <c r="D81" s="81"/>
      <c r="E81" s="81"/>
      <c r="F81" s="3"/>
    </row>
    <row r="82" spans="1:6" ht="12.75">
      <c r="A82" s="106" t="s">
        <v>19</v>
      </c>
      <c r="B82" s="107" t="s">
        <v>483</v>
      </c>
      <c r="C82" s="107" t="s">
        <v>484</v>
      </c>
      <c r="D82" s="107" t="s">
        <v>520</v>
      </c>
      <c r="E82" s="106" t="s">
        <v>20</v>
      </c>
      <c r="F82" s="96" t="s">
        <v>21</v>
      </c>
    </row>
    <row r="83" spans="2:6" ht="12.75" customHeight="1">
      <c r="B83" s="33"/>
      <c r="E83" s="33"/>
      <c r="F83" s="67"/>
    </row>
    <row r="84" spans="1:6" ht="8.25" customHeight="1">
      <c r="A84" s="7"/>
      <c r="B84" s="68"/>
      <c r="C84" s="68"/>
      <c r="D84" s="68"/>
      <c r="E84" s="34"/>
      <c r="F84" s="1"/>
    </row>
    <row r="85" spans="1:6" ht="12.75">
      <c r="A85" s="3" t="s">
        <v>330</v>
      </c>
      <c r="B85" s="33"/>
      <c r="C85" s="33"/>
      <c r="D85" s="33"/>
      <c r="E85" s="34"/>
      <c r="F85" s="69"/>
    </row>
    <row r="86" spans="1:7" ht="12.75">
      <c r="A86" s="20" t="s">
        <v>301</v>
      </c>
      <c r="B86" s="33"/>
      <c r="C86" s="33"/>
      <c r="D86" s="33"/>
      <c r="E86" s="34"/>
      <c r="G86" s="11" t="s">
        <v>23</v>
      </c>
    </row>
    <row r="87" spans="1:6" ht="12.75">
      <c r="A87" s="7" t="s">
        <v>300</v>
      </c>
      <c r="B87" s="185">
        <v>2929828.82</v>
      </c>
      <c r="C87" s="185">
        <f>500000+3823793.27</f>
        <v>4323793.27</v>
      </c>
      <c r="D87" s="185">
        <v>4440958.89</v>
      </c>
      <c r="E87" s="186">
        <f>SUM(B87:D87)</f>
        <v>11694580.98</v>
      </c>
      <c r="F87" s="192">
        <f>(E87/$E$112)*100</f>
        <v>2.3588752689037613</v>
      </c>
    </row>
    <row r="88" spans="1:6" ht="12.75">
      <c r="A88" s="7" t="s">
        <v>434</v>
      </c>
      <c r="B88" s="185"/>
      <c r="C88" s="185"/>
      <c r="D88" s="185">
        <v>-671014.37</v>
      </c>
      <c r="E88" s="186">
        <f>SUM(B88:D88)</f>
        <v>-671014.37</v>
      </c>
      <c r="F88" s="192">
        <f>(E88/$E$112)*100</f>
        <v>-0.1353480902974634</v>
      </c>
    </row>
    <row r="89" spans="1:7" ht="12.75">
      <c r="A89" s="20" t="s">
        <v>302</v>
      </c>
      <c r="B89" s="185"/>
      <c r="C89" s="185"/>
      <c r="D89" s="185"/>
      <c r="E89" s="186"/>
      <c r="F89" s="192"/>
      <c r="G89" s="11" t="s">
        <v>23</v>
      </c>
    </row>
    <row r="90" spans="1:7" ht="12.75">
      <c r="A90" s="7" t="s">
        <v>310</v>
      </c>
      <c r="B90" s="185">
        <v>31389</v>
      </c>
      <c r="C90" s="185">
        <v>45337</v>
      </c>
      <c r="D90" s="185">
        <v>44812</v>
      </c>
      <c r="E90" s="186">
        <f>SUM(B90:D90)</f>
        <v>121538</v>
      </c>
      <c r="F90" s="192">
        <f>(E90/$E$112)*100</f>
        <v>0.02451502819317134</v>
      </c>
      <c r="G90" s="11"/>
    </row>
    <row r="91" spans="1:6" ht="12.75">
      <c r="A91" s="7" t="s">
        <v>311</v>
      </c>
      <c r="B91" s="185">
        <v>6611</v>
      </c>
      <c r="C91" s="185">
        <v>133754</v>
      </c>
      <c r="D91" s="185">
        <v>24828</v>
      </c>
      <c r="E91" s="186">
        <f aca="true" t="shared" si="4" ref="E91:E101">SUM(B91:D91)</f>
        <v>165193</v>
      </c>
      <c r="F91" s="192">
        <f>(E91/$E$112)*100</f>
        <v>0.03332053392613465</v>
      </c>
    </row>
    <row r="92" spans="1:6" ht="12.75">
      <c r="A92" s="7" t="s">
        <v>312</v>
      </c>
      <c r="B92" s="185">
        <v>39308</v>
      </c>
      <c r="C92" s="185">
        <v>18653</v>
      </c>
      <c r="D92" s="185">
        <v>14866</v>
      </c>
      <c r="E92" s="186">
        <f t="shared" si="4"/>
        <v>72827</v>
      </c>
      <c r="F92" s="192">
        <f>(E92/$E$112)*100</f>
        <v>0.014689693414603574</v>
      </c>
    </row>
    <row r="93" spans="1:7" ht="12.75">
      <c r="A93" s="20" t="s">
        <v>260</v>
      </c>
      <c r="B93" s="185"/>
      <c r="C93" s="185"/>
      <c r="D93" s="185"/>
      <c r="E93" s="186"/>
      <c r="F93" s="192"/>
      <c r="G93" s="11" t="s">
        <v>23</v>
      </c>
    </row>
    <row r="94" spans="1:6" ht="12.75">
      <c r="A94" s="7" t="s">
        <v>262</v>
      </c>
      <c r="B94" s="185">
        <v>559911.74</v>
      </c>
      <c r="C94" s="185">
        <v>207174.29</v>
      </c>
      <c r="D94" s="185">
        <v>1586849.86</v>
      </c>
      <c r="E94" s="186">
        <f t="shared" si="4"/>
        <v>2353935.89</v>
      </c>
      <c r="F94" s="192">
        <f aca="true" t="shared" si="5" ref="F94:F99">(E94/$E$112)*100</f>
        <v>0.4748046266045835</v>
      </c>
    </row>
    <row r="95" spans="1:7" ht="12.75">
      <c r="A95" s="7" t="s">
        <v>297</v>
      </c>
      <c r="B95" s="185">
        <v>3434285.07</v>
      </c>
      <c r="C95" s="185">
        <f>1915484.82+133803.33</f>
        <v>2049288.1500000001</v>
      </c>
      <c r="D95" s="185">
        <v>4206316.1</v>
      </c>
      <c r="E95" s="186">
        <f t="shared" si="4"/>
        <v>9689889.32</v>
      </c>
      <c r="F95" s="192">
        <f t="shared" si="5"/>
        <v>1.9545155413822002</v>
      </c>
      <c r="G95" s="11"/>
    </row>
    <row r="96" spans="1:7" ht="12.75">
      <c r="A96" s="7" t="s">
        <v>71</v>
      </c>
      <c r="B96" s="185">
        <v>2151363.37</v>
      </c>
      <c r="C96" s="185">
        <v>2156535.21</v>
      </c>
      <c r="D96" s="185">
        <v>2136873.15</v>
      </c>
      <c r="E96" s="186">
        <f t="shared" si="4"/>
        <v>6444771.73</v>
      </c>
      <c r="F96" s="192">
        <f t="shared" si="5"/>
        <v>1.2999536001868028</v>
      </c>
      <c r="G96" s="11"/>
    </row>
    <row r="97" spans="1:7" ht="12.75">
      <c r="A97" s="7" t="s">
        <v>298</v>
      </c>
      <c r="B97" s="185">
        <f>40000+46968.09</f>
        <v>86968.09</v>
      </c>
      <c r="C97" s="185">
        <f>53750.18+73696.65</f>
        <v>127446.82999999999</v>
      </c>
      <c r="D97" s="185">
        <v>102247.37</v>
      </c>
      <c r="E97" s="186">
        <f t="shared" si="4"/>
        <v>316662.29</v>
      </c>
      <c r="F97" s="192">
        <f t="shared" si="5"/>
        <v>0.06387290367674471</v>
      </c>
      <c r="G97" s="11"/>
    </row>
    <row r="98" spans="1:7" ht="12.75">
      <c r="A98" s="7" t="s">
        <v>299</v>
      </c>
      <c r="B98" s="185">
        <v>587201.55</v>
      </c>
      <c r="C98" s="185">
        <v>609104.21</v>
      </c>
      <c r="D98" s="185">
        <v>610263.49</v>
      </c>
      <c r="E98" s="186">
        <f t="shared" si="4"/>
        <v>1806569.25</v>
      </c>
      <c r="F98" s="192">
        <f t="shared" si="5"/>
        <v>0.36439711116413304</v>
      </c>
      <c r="G98" s="11"/>
    </row>
    <row r="99" spans="1:7" ht="12.75">
      <c r="A99" s="7" t="s">
        <v>535</v>
      </c>
      <c r="B99" s="185"/>
      <c r="C99" s="185"/>
      <c r="D99" s="185">
        <v>1950026.24</v>
      </c>
      <c r="E99" s="186">
        <f>SUM(B99:D99)</f>
        <v>1950026.24</v>
      </c>
      <c r="F99" s="192">
        <f t="shared" si="5"/>
        <v>0.3933333463692335</v>
      </c>
      <c r="G99" s="11"/>
    </row>
    <row r="100" spans="1:7" ht="12.75">
      <c r="A100" s="20" t="s">
        <v>456</v>
      </c>
      <c r="B100" s="185"/>
      <c r="C100" s="185"/>
      <c r="D100" s="185"/>
      <c r="E100" s="186"/>
      <c r="F100" s="192"/>
      <c r="G100" s="11" t="s">
        <v>23</v>
      </c>
    </row>
    <row r="101" spans="1:7" ht="12.75">
      <c r="A101" s="7" t="s">
        <v>468</v>
      </c>
      <c r="B101" s="185"/>
      <c r="C101" s="185"/>
      <c r="D101" s="185"/>
      <c r="E101" s="186">
        <f t="shared" si="4"/>
        <v>0</v>
      </c>
      <c r="F101" s="192">
        <f>(E101/$E$112)*100</f>
        <v>0</v>
      </c>
      <c r="G101" s="11"/>
    </row>
    <row r="102" spans="1:6" ht="12.75">
      <c r="A102" s="7"/>
      <c r="B102" s="185"/>
      <c r="C102" s="185"/>
      <c r="D102" s="185"/>
      <c r="E102" s="186"/>
      <c r="F102" s="192"/>
    </row>
    <row r="103" spans="1:6" ht="12.75">
      <c r="A103" s="70" t="s">
        <v>335</v>
      </c>
      <c r="B103" s="167">
        <f>SUM(B87:B102)</f>
        <v>9826866.64</v>
      </c>
      <c r="C103" s="167">
        <f>SUM(C87:C102)</f>
        <v>9671085.96</v>
      </c>
      <c r="D103" s="167">
        <f>SUM(D87:D102)</f>
        <v>14447026.73</v>
      </c>
      <c r="E103" s="167">
        <f>SUM(E87:E102)</f>
        <v>33944979.33</v>
      </c>
      <c r="F103" s="193">
        <f>SUM(F87:F102)</f>
        <v>6.846929563523907</v>
      </c>
    </row>
    <row r="104" spans="2:6" ht="12.75">
      <c r="B104" s="115"/>
      <c r="C104" s="115"/>
      <c r="D104" s="115"/>
      <c r="E104" s="115"/>
      <c r="F104" s="194"/>
    </row>
    <row r="105" spans="1:7" ht="12.75">
      <c r="A105" s="20" t="s">
        <v>333</v>
      </c>
      <c r="B105" s="185"/>
      <c r="C105" s="185"/>
      <c r="D105" s="185"/>
      <c r="E105" s="186"/>
      <c r="F105" s="192"/>
      <c r="G105" s="11" t="s">
        <v>23</v>
      </c>
    </row>
    <row r="106" spans="1:6" ht="12.75">
      <c r="A106" s="7" t="s">
        <v>266</v>
      </c>
      <c r="B106" s="185">
        <f>126087139.57+686118.68</f>
        <v>126773258.25</v>
      </c>
      <c r="C106" s="185">
        <v>119979061.66</v>
      </c>
      <c r="D106" s="185">
        <v>122885443.81</v>
      </c>
      <c r="E106" s="186">
        <f>SUM(B106:D106)</f>
        <v>369637763.72</v>
      </c>
      <c r="F106" s="192">
        <f>(E106/$E$112)*100</f>
        <v>74.5584113516481</v>
      </c>
    </row>
    <row r="107" spans="1:7" ht="12.75">
      <c r="A107" s="7" t="s">
        <v>267</v>
      </c>
      <c r="B107" s="185"/>
      <c r="C107" s="185"/>
      <c r="D107" s="185">
        <v>2825936.56</v>
      </c>
      <c r="E107" s="186">
        <f>SUM(B107:D107)</f>
        <v>2825936.56</v>
      </c>
      <c r="F107" s="192">
        <f>(E107/$E$112)*100</f>
        <v>0.5700103213851935</v>
      </c>
      <c r="G107" s="11"/>
    </row>
    <row r="108" spans="1:7" ht="12.75">
      <c r="A108" s="7" t="s">
        <v>268</v>
      </c>
      <c r="B108" s="185"/>
      <c r="C108" s="185"/>
      <c r="D108" s="185">
        <v>4803170.39</v>
      </c>
      <c r="E108" s="186">
        <f>SUM(B108:D108)</f>
        <v>4803170.39</v>
      </c>
      <c r="F108" s="192">
        <f>(E108/$E$112)*100</f>
        <v>0.9688316207890189</v>
      </c>
      <c r="G108" s="11"/>
    </row>
    <row r="109" spans="2:7" ht="12.75">
      <c r="B109" s="185"/>
      <c r="C109" s="185"/>
      <c r="D109" s="185"/>
      <c r="E109" s="186"/>
      <c r="F109" s="192"/>
      <c r="G109" s="11"/>
    </row>
    <row r="110" spans="1:7" ht="12.75">
      <c r="A110" s="70" t="s">
        <v>336</v>
      </c>
      <c r="B110" s="188">
        <f>SUM(B106:B108)</f>
        <v>126773258.25</v>
      </c>
      <c r="C110" s="188">
        <f>SUM(C106:C108)</f>
        <v>119979061.66</v>
      </c>
      <c r="D110" s="188">
        <f>SUM(D106:D108)</f>
        <v>130514550.76</v>
      </c>
      <c r="E110" s="188">
        <f>SUM(E106:E108)</f>
        <v>377266870.67</v>
      </c>
      <c r="F110" s="195">
        <f>SUM(F106:F108)</f>
        <v>76.09725329382232</v>
      </c>
      <c r="G110" s="11"/>
    </row>
    <row r="111" spans="1:6" ht="12.75">
      <c r="A111" s="7"/>
      <c r="B111" s="186"/>
      <c r="C111" s="186"/>
      <c r="D111" s="186"/>
      <c r="E111" s="186"/>
      <c r="F111" s="196"/>
    </row>
    <row r="112" spans="1:6" ht="13.5" thickBot="1">
      <c r="A112" s="3" t="s">
        <v>275</v>
      </c>
      <c r="B112" s="197">
        <f>SUM(B41+B74+B103+B110)</f>
        <v>163274114.28</v>
      </c>
      <c r="C112" s="197">
        <f>SUM(C41+C74+C103+C110)</f>
        <v>164203521.95</v>
      </c>
      <c r="D112" s="197">
        <f>SUM(D41+D74+D103+D110)</f>
        <v>168291730.39</v>
      </c>
      <c r="E112" s="197">
        <f>SUM(E41+E74+E103+E110)</f>
        <v>495769366.62000006</v>
      </c>
      <c r="F112" s="198">
        <f>SUM(F41+F74+F103+F110)</f>
        <v>100</v>
      </c>
    </row>
    <row r="113" spans="1:6" ht="13.5" thickTop="1">
      <c r="A113" s="19"/>
      <c r="B113" s="32"/>
      <c r="C113" s="32"/>
      <c r="D113" s="32"/>
      <c r="E113" s="32"/>
      <c r="F113" s="19"/>
    </row>
    <row r="114" ht="12.75">
      <c r="D114" s="185"/>
    </row>
    <row r="123" ht="12.75">
      <c r="A123" s="10" t="s">
        <v>29</v>
      </c>
    </row>
    <row r="125" ht="12.75">
      <c r="A125" s="14" t="s">
        <v>377</v>
      </c>
    </row>
    <row r="127" ht="12.75">
      <c r="A127" s="14"/>
    </row>
  </sheetData>
  <sheetProtection password="8451" sheet="1" objects="1" scenarios="1"/>
  <mergeCells count="16">
    <mergeCell ref="A55:F55"/>
    <mergeCell ref="A56:F56"/>
    <mergeCell ref="A79:F79"/>
    <mergeCell ref="E75:F75"/>
    <mergeCell ref="A76:F76"/>
    <mergeCell ref="A77:F77"/>
    <mergeCell ref="A78:F78"/>
    <mergeCell ref="A54:F54"/>
    <mergeCell ref="E42:F42"/>
    <mergeCell ref="A53:F53"/>
    <mergeCell ref="E52:F52"/>
    <mergeCell ref="A5:F5"/>
    <mergeCell ref="E1:F1"/>
    <mergeCell ref="A2:F2"/>
    <mergeCell ref="A3:F3"/>
    <mergeCell ref="A4:F4"/>
  </mergeCells>
  <printOptions/>
  <pageMargins left="0.96" right="0.35" top="0.58" bottom="0.7874015748031497" header="0" footer="0"/>
  <pageSetup horizontalDpi="600" verticalDpi="600" orientation="portrait" scale="90" r:id="rId1"/>
  <rowBreaks count="2" manualBreakCount="2">
    <brk id="51" max="6" man="1"/>
    <brk id="7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57" activeCellId="1" sqref="I43 I57"/>
    </sheetView>
  </sheetViews>
  <sheetFormatPr defaultColWidth="9.140625" defaultRowHeight="12.75"/>
  <cols>
    <col min="1" max="1" width="36.57421875" style="2" customWidth="1"/>
    <col min="2" max="2" width="10.8515625" style="25" customWidth="1"/>
    <col min="3" max="4" width="10.28125" style="25" customWidth="1"/>
    <col min="5" max="5" width="10.00390625" style="25" bestFit="1" customWidth="1"/>
    <col min="6" max="6" width="6.8515625" style="2" bestFit="1" customWidth="1"/>
    <col min="7" max="16384" width="11.421875" style="2" customWidth="1"/>
  </cols>
  <sheetData>
    <row r="1" spans="5:6" ht="12.75">
      <c r="E1" s="245" t="s">
        <v>12</v>
      </c>
      <c r="F1" s="245"/>
    </row>
    <row r="2" spans="1:6" ht="15">
      <c r="A2" s="244" t="s">
        <v>398</v>
      </c>
      <c r="B2" s="244"/>
      <c r="C2" s="244"/>
      <c r="D2" s="244"/>
      <c r="E2" s="244"/>
      <c r="F2" s="244"/>
    </row>
    <row r="3" spans="1:6" ht="15">
      <c r="A3" s="246" t="s">
        <v>559</v>
      </c>
      <c r="B3" s="246"/>
      <c r="C3" s="246"/>
      <c r="D3" s="246"/>
      <c r="E3" s="246"/>
      <c r="F3" s="246"/>
    </row>
    <row r="4" spans="1:6" ht="15">
      <c r="A4" s="244" t="s">
        <v>406</v>
      </c>
      <c r="B4" s="244"/>
      <c r="C4" s="244"/>
      <c r="D4" s="244"/>
      <c r="E4" s="244"/>
      <c r="F4" s="244"/>
    </row>
    <row r="5" spans="1:7" ht="15">
      <c r="A5" s="244" t="s">
        <v>531</v>
      </c>
      <c r="B5" s="244"/>
      <c r="C5" s="244"/>
      <c r="D5" s="244"/>
      <c r="E5" s="244"/>
      <c r="F5" s="244"/>
      <c r="G5" s="41"/>
    </row>
    <row r="6" spans="1:7" ht="15">
      <c r="A6" s="103"/>
      <c r="B6" s="103"/>
      <c r="C6" s="103"/>
      <c r="D6" s="103"/>
      <c r="E6" s="103"/>
      <c r="F6" s="103"/>
      <c r="G6" s="41"/>
    </row>
    <row r="7" spans="1:7" ht="15">
      <c r="A7" s="103"/>
      <c r="B7" s="103"/>
      <c r="C7" s="103"/>
      <c r="D7" s="103"/>
      <c r="E7" s="103"/>
      <c r="F7" s="103"/>
      <c r="G7" s="41"/>
    </row>
    <row r="8" spans="1:7" ht="15">
      <c r="A8" s="103"/>
      <c r="B8" s="103"/>
      <c r="C8" s="103"/>
      <c r="D8" s="103"/>
      <c r="E8" s="103"/>
      <c r="F8" s="103"/>
      <c r="G8" s="41"/>
    </row>
    <row r="9" spans="1:7" ht="15">
      <c r="A9" s="103"/>
      <c r="B9" s="103"/>
      <c r="C9" s="103"/>
      <c r="D9" s="103"/>
      <c r="E9" s="103"/>
      <c r="F9" s="103"/>
      <c r="G9" s="41"/>
    </row>
    <row r="10" spans="1:6" ht="12.75">
      <c r="A10" s="81"/>
      <c r="B10" s="81"/>
      <c r="C10" s="81"/>
      <c r="D10" s="81"/>
      <c r="E10" s="81"/>
      <c r="F10" s="3"/>
    </row>
    <row r="11" spans="1:6" ht="12.75">
      <c r="A11" s="106" t="s">
        <v>19</v>
      </c>
      <c r="B11" s="107" t="s">
        <v>483</v>
      </c>
      <c r="C11" s="107" t="s">
        <v>484</v>
      </c>
      <c r="D11" s="107" t="s">
        <v>520</v>
      </c>
      <c r="E11" s="106" t="s">
        <v>20</v>
      </c>
      <c r="F11" s="96" t="s">
        <v>21</v>
      </c>
    </row>
    <row r="12" spans="1:6" ht="12.75">
      <c r="A12" s="81"/>
      <c r="B12" s="81"/>
      <c r="C12" s="81"/>
      <c r="D12" s="81"/>
      <c r="E12" s="81"/>
      <c r="F12" s="3"/>
    </row>
    <row r="13" spans="2:6" ht="6" customHeight="1">
      <c r="B13" s="33"/>
      <c r="E13" s="33"/>
      <c r="F13" s="67"/>
    </row>
    <row r="14" spans="1:6" ht="18.75" customHeight="1">
      <c r="A14" s="2" t="s">
        <v>340</v>
      </c>
      <c r="B14" s="185">
        <v>3001227.13</v>
      </c>
      <c r="C14" s="185">
        <v>3378665.6</v>
      </c>
      <c r="D14" s="185">
        <v>1033079.7</v>
      </c>
      <c r="E14" s="186">
        <f>SUM(B14:D14)</f>
        <v>7412972.430000001</v>
      </c>
      <c r="F14" s="199">
        <f>(E14/$E$17)*100</f>
        <v>95.61773592725098</v>
      </c>
    </row>
    <row r="15" spans="1:6" ht="18.75" customHeight="1">
      <c r="A15" s="7" t="s">
        <v>72</v>
      </c>
      <c r="B15" s="185">
        <v>136210.39</v>
      </c>
      <c r="C15" s="185">
        <v>90724.89</v>
      </c>
      <c r="D15" s="185">
        <v>112809.25</v>
      </c>
      <c r="E15" s="186">
        <f>SUM(B15:D15)</f>
        <v>339744.53</v>
      </c>
      <c r="F15" s="199">
        <f>(E15/$E$17)*100</f>
        <v>4.382264072749019</v>
      </c>
    </row>
    <row r="16" spans="1:6" ht="18.75" customHeight="1">
      <c r="A16" s="7"/>
      <c r="B16" s="185"/>
      <c r="C16" s="185"/>
      <c r="D16" s="185"/>
      <c r="E16" s="185"/>
      <c r="F16" s="199"/>
    </row>
    <row r="17" spans="1:6" ht="18.75" customHeight="1" thickBot="1">
      <c r="A17" s="3" t="s">
        <v>127</v>
      </c>
      <c r="B17" s="200">
        <f>SUM(B14:B16)</f>
        <v>3137437.52</v>
      </c>
      <c r="C17" s="200">
        <f>SUM(C14:C16)</f>
        <v>3469390.49</v>
      </c>
      <c r="D17" s="200">
        <f>SUM(D14:D16)</f>
        <v>1145888.95</v>
      </c>
      <c r="E17" s="200">
        <f>SUM(E14:E16)</f>
        <v>7752716.960000001</v>
      </c>
      <c r="F17" s="201">
        <f>SUM(F14:F16)</f>
        <v>100</v>
      </c>
    </row>
    <row r="18" ht="13.5" thickTop="1"/>
  </sheetData>
  <sheetProtection password="8451" sheet="1" objects="1" scenarios="1"/>
  <mergeCells count="5">
    <mergeCell ref="A5:F5"/>
    <mergeCell ref="E1:F1"/>
    <mergeCell ref="A2:F2"/>
    <mergeCell ref="A3:F3"/>
    <mergeCell ref="A4:F4"/>
  </mergeCells>
  <printOptions/>
  <pageMargins left="0.96" right="0.35" top="0.58" bottom="0.787401574803149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Autonoma de Sin.</dc:creator>
  <cp:keywords/>
  <dc:description/>
  <cp:lastModifiedBy>Contabilidad</cp:lastModifiedBy>
  <cp:lastPrinted>2008-05-28T23:06:47Z</cp:lastPrinted>
  <dcterms:created xsi:type="dcterms:W3CDTF">2003-01-28T22:37:29Z</dcterms:created>
  <dcterms:modified xsi:type="dcterms:W3CDTF">2008-06-23T22:03:11Z</dcterms:modified>
  <cp:category/>
  <cp:version/>
  <cp:contentType/>
  <cp:contentStatus/>
</cp:coreProperties>
</file>