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11580" windowHeight="6810" tabRatio="954" activeTab="8"/>
  </bookViews>
  <sheets>
    <sheet name="Flujo" sheetId="1" r:id="rId1"/>
    <sheet name="Sub" sheetId="2" r:id="rId2"/>
    <sheet name="A.Sub " sheetId="3" r:id="rId3"/>
    <sheet name="Ing.Prop" sheetId="4" r:id="rId4"/>
    <sheet name="O.Ing.Prop" sheetId="5" r:id="rId5"/>
    <sheet name="O.Ing" sheetId="6" r:id="rId6"/>
    <sheet name="Proy.Esp" sheetId="7" r:id="rId7"/>
    <sheet name="Serv.Per" sheetId="8" r:id="rId8"/>
    <sheet name="Mat.Cons" sheetId="9" r:id="rId9"/>
    <sheet name="Serv.Grals" sheetId="10" r:id="rId10"/>
    <sheet name="Gto.Comp" sheetId="11" r:id="rId11"/>
    <sheet name="G.C.Op" sheetId="12" r:id="rId12"/>
    <sheet name="G.C.Viat" sheetId="13" r:id="rId13"/>
    <sheet name="G.C.Ing.Prop" sheetId="14" r:id="rId14"/>
    <sheet name="G.C.Donat" sheetId="15" r:id="rId15"/>
    <sheet name="G.C.Etiq" sheetId="16" r:id="rId16"/>
    <sheet name="JUL06" sheetId="17" r:id="rId17"/>
  </sheets>
  <definedNames>
    <definedName name="_xlnm.Print_Area" localSheetId="5">'O.Ing'!$A$1:$H$37</definedName>
    <definedName name="_xlnm.Print_Titles" localSheetId="12">'G.C.Viat'!$1:$10</definedName>
  </definedNames>
  <calcPr fullCalcOnLoad="1"/>
</workbook>
</file>

<file path=xl/sharedStrings.xml><?xml version="1.0" encoding="utf-8"?>
<sst xmlns="http://schemas.openxmlformats.org/spreadsheetml/2006/main" count="1013" uniqueCount="572">
  <si>
    <t>C   O   N   C   E   P   T   O</t>
  </si>
  <si>
    <t>IMPORTE</t>
  </si>
  <si>
    <t>SUBSIDIOS</t>
  </si>
  <si>
    <t>Anexo I</t>
  </si>
  <si>
    <t>INGRESOS PROPIOS</t>
  </si>
  <si>
    <t>Anexo II</t>
  </si>
  <si>
    <t>OTROS TIPOS DE INGRESOS PROPIOS</t>
  </si>
  <si>
    <t>Anexo III</t>
  </si>
  <si>
    <t>Anexo IV</t>
  </si>
  <si>
    <t>OTROS INGRESOS</t>
  </si>
  <si>
    <t>Anexo V</t>
  </si>
  <si>
    <t xml:space="preserve">SERVICIOS PERSONALES </t>
  </si>
  <si>
    <t>Anexo VI</t>
  </si>
  <si>
    <t>MATERIALES DE CONSUMO</t>
  </si>
  <si>
    <t>Anexo VII</t>
  </si>
  <si>
    <t>SERVICIOS GENERALES</t>
  </si>
  <si>
    <t>Anexo VIII</t>
  </si>
  <si>
    <t>GASTOS A COMPROBAR</t>
  </si>
  <si>
    <t>Anexo IX</t>
  </si>
  <si>
    <t>Universidad Autónoma de Sinaloa</t>
  </si>
  <si>
    <t>Tesorería General</t>
  </si>
  <si>
    <t xml:space="preserve">S   u   b   c   u   e   n   t   a    </t>
  </si>
  <si>
    <t>Total</t>
  </si>
  <si>
    <t>%</t>
  </si>
  <si>
    <t>Subsidio Federal Ordinario</t>
  </si>
  <si>
    <t>1)</t>
  </si>
  <si>
    <t>2)</t>
  </si>
  <si>
    <t>Total Subsidios Federales</t>
  </si>
  <si>
    <t>Subsidio Estatal Ordinario</t>
  </si>
  <si>
    <t>3)</t>
  </si>
  <si>
    <t>Total Subsidios Estatales</t>
  </si>
  <si>
    <t>Notas:</t>
  </si>
  <si>
    <t>Anexo I-1</t>
  </si>
  <si>
    <t xml:space="preserve">Fecha </t>
  </si>
  <si>
    <t xml:space="preserve">Subsidio </t>
  </si>
  <si>
    <t>Subsidio</t>
  </si>
  <si>
    <t>de</t>
  </si>
  <si>
    <t>Inscripciones</t>
  </si>
  <si>
    <t>Pre-inscripciones</t>
  </si>
  <si>
    <t>Cuotas colegiaturas</t>
  </si>
  <si>
    <t xml:space="preserve">Cuotas laboratorio </t>
  </si>
  <si>
    <t>Cuotas deporte</t>
  </si>
  <si>
    <t xml:space="preserve">Varios </t>
  </si>
  <si>
    <t>Exámenes</t>
  </si>
  <si>
    <t xml:space="preserve">Carta de pasante en cuero </t>
  </si>
  <si>
    <t xml:space="preserve">Constancias </t>
  </si>
  <si>
    <t>Certificados</t>
  </si>
  <si>
    <t>Validación</t>
  </si>
  <si>
    <t>Expedición y reposición de credenciales</t>
  </si>
  <si>
    <t>Registro en libro de egresados</t>
  </si>
  <si>
    <t>Ingresos por clasificar</t>
  </si>
  <si>
    <t>Fideicomiso PROMEP 2001</t>
  </si>
  <si>
    <t>Intereses normales</t>
  </si>
  <si>
    <t>Total Ingresos Propios</t>
  </si>
  <si>
    <t>Cursos y diplomados</t>
  </si>
  <si>
    <t>Cuotas varias</t>
  </si>
  <si>
    <t>Cambios y bajas de escuela</t>
  </si>
  <si>
    <r>
      <t xml:space="preserve">Notas: </t>
    </r>
    <r>
      <rPr>
        <sz val="10"/>
        <rFont val="Arial"/>
        <family val="2"/>
      </rPr>
      <t xml:space="preserve">  </t>
    </r>
  </si>
  <si>
    <t>Incapacidades</t>
  </si>
  <si>
    <t>Donativos en custodia</t>
  </si>
  <si>
    <t>Proyectos especiales</t>
  </si>
  <si>
    <t>Diversos</t>
  </si>
  <si>
    <t>Nota:</t>
  </si>
  <si>
    <t>Sueldos</t>
  </si>
  <si>
    <t>INFONAVIT</t>
  </si>
  <si>
    <t>Retiro</t>
  </si>
  <si>
    <t>Cesantía y vejez</t>
  </si>
  <si>
    <t>IMSS patronal</t>
  </si>
  <si>
    <t>Indemnizaciones</t>
  </si>
  <si>
    <t>Ayuda transporte preescolar</t>
  </si>
  <si>
    <t>Ayuda para gastos de defunción</t>
  </si>
  <si>
    <t>Ayuda para gastos médicos</t>
  </si>
  <si>
    <t>Ayuda para gastos dentales</t>
  </si>
  <si>
    <t>Ayuda para gastos ortopédicos</t>
  </si>
  <si>
    <t>Ayuda para anteojos</t>
  </si>
  <si>
    <t>Apoyo cartera deporte sindical</t>
  </si>
  <si>
    <t>Iguala por cuotas sindicales</t>
  </si>
  <si>
    <t>Formación de personal</t>
  </si>
  <si>
    <t>FONACOT</t>
  </si>
  <si>
    <t>Combustibles, lubricantes y aditivos</t>
  </si>
  <si>
    <t>Energía eléctrica</t>
  </si>
  <si>
    <t>Agua potable</t>
  </si>
  <si>
    <t>Teléfono</t>
  </si>
  <si>
    <t>Arrendamiento de inmuebles</t>
  </si>
  <si>
    <t>Mant. de mobiliario y equipo de oficina</t>
  </si>
  <si>
    <t>Mant. de equipo de transporte</t>
  </si>
  <si>
    <t>Impresiones</t>
  </si>
  <si>
    <t>Viáticos operativo</t>
  </si>
  <si>
    <t>Honorarios profesionales</t>
  </si>
  <si>
    <t>Alimentación administración general</t>
  </si>
  <si>
    <t>Exoneraciones por prestaciones</t>
  </si>
  <si>
    <t>Apoyos económicos</t>
  </si>
  <si>
    <t>Partidas por comp. a cta. de ing. propios</t>
  </si>
  <si>
    <t>Rectoría</t>
  </si>
  <si>
    <t>Departamento de Titulación</t>
  </si>
  <si>
    <t>Dirección de Servicios Escolares</t>
  </si>
  <si>
    <t>Contraloría General</t>
  </si>
  <si>
    <t>Contraloría Académica</t>
  </si>
  <si>
    <t>Contraloría Estudiantil</t>
  </si>
  <si>
    <t>Dirección General de Deportes</t>
  </si>
  <si>
    <t>Dirección General de Bibliotecas</t>
  </si>
  <si>
    <t>Dirección de Radio UAS</t>
  </si>
  <si>
    <t>Departamento de Sueldos y Salarios</t>
  </si>
  <si>
    <t>Departamento de Contabilidad General</t>
  </si>
  <si>
    <t>Fundación UAS</t>
  </si>
  <si>
    <t>Escuela de Biología Culiacán</t>
  </si>
  <si>
    <t>Escuela de Psicología</t>
  </si>
  <si>
    <t>Facultad de Contaduría y Admón. Culiacán</t>
  </si>
  <si>
    <t>Facultad de Historia</t>
  </si>
  <si>
    <t>Escuela de Economía Culiacán</t>
  </si>
  <si>
    <t>Escuela de Arquitectura Culiacán</t>
  </si>
  <si>
    <t>Escuela de Informática Culiacán</t>
  </si>
  <si>
    <t>Torre Académica Culiacán</t>
  </si>
  <si>
    <t>Escuela de Ingeniería Mazatlán</t>
  </si>
  <si>
    <t>Escuela de Informática Mazatlán</t>
  </si>
  <si>
    <t>Coord. General de PROMEP</t>
  </si>
  <si>
    <t>Facultad de Agronomía</t>
  </si>
  <si>
    <t>Facultad de Ciencias del Mar</t>
  </si>
  <si>
    <t>Escuela Preparatoria 8 de Julio</t>
  </si>
  <si>
    <t>Escuela Preparatoria Emiliano Zapata</t>
  </si>
  <si>
    <t>Escuela Preparatoria Navolato</t>
  </si>
  <si>
    <t>Coord. Universitaria del Hospital Civil</t>
  </si>
  <si>
    <t>Centro de Investigación y Serv. Educativos</t>
  </si>
  <si>
    <t>Escuela de Biología de Culiacán</t>
  </si>
  <si>
    <t>Escuela de Derecho y Ciencias Políticas</t>
  </si>
  <si>
    <t>Escuela de Turismo Mazatlán</t>
  </si>
  <si>
    <t>Escuela de Enfermería Culiacán</t>
  </si>
  <si>
    <t>Escuela de Trabajo Social Mazatlán</t>
  </si>
  <si>
    <t>Escuela de Enfermería Mazatlán</t>
  </si>
  <si>
    <t>Escuela Preparatoria Carlos Marx</t>
  </si>
  <si>
    <t>Escuela Preparatoria Central Nocturna</t>
  </si>
  <si>
    <t>Escuela Preparatoria Sandino</t>
  </si>
  <si>
    <t>Escuela Preparatoria Vladimir I. Lennin</t>
  </si>
  <si>
    <t>Escuela Preparatoria Victoria del Pueblo</t>
  </si>
  <si>
    <t>Escuela Preparatoria Valle del Carrizo</t>
  </si>
  <si>
    <t>Escuela Preparatoria El Fuerte</t>
  </si>
  <si>
    <t>Escuela Preparatoria Los Mochis</t>
  </si>
  <si>
    <t>Escuela Preparatoria Angostura</t>
  </si>
  <si>
    <t>Escuela Preparatoria Rubén Jaramillo</t>
  </si>
  <si>
    <t>Cuenta</t>
  </si>
  <si>
    <t>T o t a l</t>
  </si>
  <si>
    <t>Control</t>
  </si>
  <si>
    <t>205366-0</t>
  </si>
  <si>
    <t>8675074-4</t>
  </si>
  <si>
    <t>1018205-3</t>
  </si>
  <si>
    <t>5300-15064-1</t>
  </si>
  <si>
    <t>Fideicomiso PROMEP-2001</t>
  </si>
  <si>
    <t>100337-0</t>
  </si>
  <si>
    <t>100354-0</t>
  </si>
  <si>
    <t>PC-083/95</t>
  </si>
  <si>
    <t>Total General</t>
  </si>
  <si>
    <t xml:space="preserve">                        </t>
  </si>
  <si>
    <t>Escuela Preparatoria Antonio Rosales</t>
  </si>
  <si>
    <t>SALDO FINAL EN BANCOS</t>
  </si>
  <si>
    <t>SALDO INICIAL EN BANCOS</t>
  </si>
  <si>
    <t>Fideicomiso Pensión y Jubilación</t>
  </si>
  <si>
    <t>Fideicomiso Fondo de Jubilación</t>
  </si>
  <si>
    <t>Atención y servicios de oficina</t>
  </si>
  <si>
    <t>Banorte</t>
  </si>
  <si>
    <t>100589-0</t>
  </si>
  <si>
    <t>Fideicomiso Pensiones y Jubilados UAS</t>
  </si>
  <si>
    <t>Departamento de Auditoría Interna</t>
  </si>
  <si>
    <t>Escuela Preparatoria La Cruz</t>
  </si>
  <si>
    <t>Escuela Preparatoria Escuinapa</t>
  </si>
  <si>
    <t>Telefonía celular</t>
  </si>
  <si>
    <t>Anexo IV-1</t>
  </si>
  <si>
    <t>Anexo VIII-1</t>
  </si>
  <si>
    <t>Anexo VIII-2</t>
  </si>
  <si>
    <t>Anexo VIII-3</t>
  </si>
  <si>
    <t>Anexo VIII-4</t>
  </si>
  <si>
    <t>Anexo VIII-5</t>
  </si>
  <si>
    <t>Banco</t>
  </si>
  <si>
    <t>Asesorías, estudios e investigaciones</t>
  </si>
  <si>
    <t>Partidas por comprobar viáticos</t>
  </si>
  <si>
    <t>Partidas por comprobar donativos</t>
  </si>
  <si>
    <t>Secretaria Administrativa de Rectoría</t>
  </si>
  <si>
    <t>Proyectos Especiales</t>
  </si>
  <si>
    <t>Escuela Preparatoria Heraclio Bernal</t>
  </si>
  <si>
    <t>Escuela de Contabilidad y Admón.Mazatlán</t>
  </si>
  <si>
    <t>Escuela Preparatoria Hnos. Flores Magon</t>
  </si>
  <si>
    <t>Escuela Preparatoria C.U.Mochis</t>
  </si>
  <si>
    <t>Escuela Preparatoria Juan José Rios</t>
  </si>
  <si>
    <t>Escuela Preparatoria Ruiz Cortinez</t>
  </si>
  <si>
    <t>Fideicomiso PIFI 2003</t>
  </si>
  <si>
    <t>Cuotas y suscripciones</t>
  </si>
  <si>
    <t>Departamento de Prestaciones Sociales</t>
  </si>
  <si>
    <t>Escuela de Ciencias de la Tierra</t>
  </si>
  <si>
    <t>Departamento Centro de Instrumentos</t>
  </si>
  <si>
    <t>Fideicomiso PIFOP 2002</t>
  </si>
  <si>
    <t>Escuela Preparatoria Hermanos Flores Magón</t>
  </si>
  <si>
    <t>Seguro de vida</t>
  </si>
  <si>
    <t>Materiales de oficina</t>
  </si>
  <si>
    <t>Escuela de Trabajo Social Los Mochis</t>
  </si>
  <si>
    <t>Escuela de Filosofía y Letras Culiacán</t>
  </si>
  <si>
    <t>Coordinación General Zona Sur</t>
  </si>
  <si>
    <t>00154833093</t>
  </si>
  <si>
    <t>Total  Caja y Bancos</t>
  </si>
  <si>
    <t>Recepción</t>
  </si>
  <si>
    <t>Federal</t>
  </si>
  <si>
    <t>Ordinario</t>
  </si>
  <si>
    <t>Estatal</t>
  </si>
  <si>
    <t>Depositado</t>
  </si>
  <si>
    <t>Dirección General de Escuelas Preparatorias</t>
  </si>
  <si>
    <t>Dirección de Asuntos Jurídicos</t>
  </si>
  <si>
    <t>Dirección de Informática</t>
  </si>
  <si>
    <t>Dirección de Actividades Artísticas</t>
  </si>
  <si>
    <t>Dirección de Imprenta Universitaria</t>
  </si>
  <si>
    <t>Dirección de Editorial</t>
  </si>
  <si>
    <t>Dirección de Servicios Estudiantiles</t>
  </si>
  <si>
    <t>Departamento de Personal</t>
  </si>
  <si>
    <t>Coordinación General Zona Norte</t>
  </si>
  <si>
    <t>Coordinación Operativa del SIIA</t>
  </si>
  <si>
    <t>Coordinación General Zona Centro-Norte</t>
  </si>
  <si>
    <t xml:space="preserve">Esc.de Estudios Internac.y Políticas Públicas </t>
  </si>
  <si>
    <t>Escuela de Estudios Intern.y Políticas Públicas</t>
  </si>
  <si>
    <t>Escuela Preparatoria Guasave Diurna</t>
  </si>
  <si>
    <t>Escuela Preparatoria Lázaro Cárdenas</t>
  </si>
  <si>
    <t>Escuela Preparatoria Mazatlán</t>
  </si>
  <si>
    <t>UAS Gasto Operativo</t>
  </si>
  <si>
    <t>UAS Fondo de Recuperación de Becas PROMEP</t>
  </si>
  <si>
    <t>Ingresos Propios Culiacán</t>
  </si>
  <si>
    <t>Fondo de Garantía Para la Vivienda</t>
  </si>
  <si>
    <t>Fideicomiso para Fondo de Jubilación</t>
  </si>
  <si>
    <t>Coord. General de Investigación y Posgrado</t>
  </si>
  <si>
    <t>Relación de Ingresos por Subsidios</t>
  </si>
  <si>
    <t xml:space="preserve">Relación de Ingresos Propios </t>
  </si>
  <si>
    <r>
      <t>1)</t>
    </r>
    <r>
      <rPr>
        <sz val="8"/>
        <rFont val="Arial"/>
        <family val="2"/>
      </rPr>
      <t xml:space="preserve"> Partidas pendientes de reclasificar a su  ingreso correspondiente. </t>
    </r>
  </si>
  <si>
    <t>Relación de Partidas por Comprobar Gasto Operativo</t>
  </si>
  <si>
    <t>Relación de Partidas por Comprobar a Cuenta de Ingresos Propios</t>
  </si>
  <si>
    <t>Relación de Partidas por Comprobar Donativos</t>
  </si>
  <si>
    <t>Relación de Partidas por Comprobar Gasto Etiquetado</t>
  </si>
  <si>
    <t>Colegiaturas El Fuerte</t>
  </si>
  <si>
    <t>Inversión Creciente (Inversiones)</t>
  </si>
  <si>
    <t>U.A.S. Maestría E.U.A. y Canadá (Dlls.)</t>
  </si>
  <si>
    <t>Total de Inversiones Disponibles</t>
  </si>
  <si>
    <t>Recursos en Fideicomisos y Cuentas para Proyectos Específicos</t>
  </si>
  <si>
    <t>UAS Proyectos Diversos (Dlls.)</t>
  </si>
  <si>
    <t>Total de Recursos en Fideicomisos</t>
  </si>
  <si>
    <t xml:space="preserve">T o t a l </t>
  </si>
  <si>
    <t>Relación de Pagos por Servicios Generales</t>
  </si>
  <si>
    <t>Total Ingresos por Subsidios</t>
  </si>
  <si>
    <t xml:space="preserve">Análisis de Ingresos por Subsidios </t>
  </si>
  <si>
    <t xml:space="preserve">Título en cuero </t>
  </si>
  <si>
    <t>Trámite de cédula profesional</t>
  </si>
  <si>
    <t>Intereses Ganados</t>
  </si>
  <si>
    <t>Estímulo al desempeño académico</t>
  </si>
  <si>
    <t>Prima de antigüedad por jubilación</t>
  </si>
  <si>
    <t>Relación de Partidas por Comprobar</t>
  </si>
  <si>
    <t>Secretaría General</t>
  </si>
  <si>
    <t>Coordinación General de Invest. y Posgrado</t>
  </si>
  <si>
    <t>Coord. de Doctorado en Ciencias Sociales</t>
  </si>
  <si>
    <t>Escuela de Ciencias Físico Matemáticas</t>
  </si>
  <si>
    <t>Inversiones Disponibles</t>
  </si>
  <si>
    <t>Nombre  de  la  Cuenta</t>
  </si>
  <si>
    <t>Partidas por comprobar gasto operativo</t>
  </si>
  <si>
    <t>Partidas por comprobar gasto etiquetado</t>
  </si>
  <si>
    <t>Coord. General de Asesores de Rectoría</t>
  </si>
  <si>
    <t>Dirección General de Recursos Humanos</t>
  </si>
  <si>
    <t>Centro de Investigación y Servicios Educativos</t>
  </si>
  <si>
    <t>Coord. General de Planeación y Desarrollo</t>
  </si>
  <si>
    <t>Coord. General de Extensión Cultural y Servicios</t>
  </si>
  <si>
    <t>Dirección de Intercambio y Vinc. Académica</t>
  </si>
  <si>
    <t>Dirección de Comunicación Social</t>
  </si>
  <si>
    <t>Dirección de Control Bienes e Inventarios</t>
  </si>
  <si>
    <t>Dirección de Construcción y Mantenimiento</t>
  </si>
  <si>
    <t>Facultad de Ciencias Químico Biológicas</t>
  </si>
  <si>
    <t>Escuela de Admón. Agropecuaria y Desarrollo</t>
  </si>
  <si>
    <t xml:space="preserve">Escuela Preparatoria Victoria del Pueblo </t>
  </si>
  <si>
    <t>Escuela Preparatoria Concordia</t>
  </si>
  <si>
    <t>Dir. de Intercambio y Vinculación Académica</t>
  </si>
  <si>
    <t>Escuela de Ciencias Económicas y Admvas.</t>
  </si>
  <si>
    <t>Escuela de Derecho Mazatlán</t>
  </si>
  <si>
    <t>Coordinación Universitaria del Hospital Civil</t>
  </si>
  <si>
    <t>Esc. Sup. de Agricultura del Valle del Fuerte</t>
  </si>
  <si>
    <t>Santander Serfin</t>
  </si>
  <si>
    <t>BBVA Bancomer</t>
  </si>
  <si>
    <t>HSBC</t>
  </si>
  <si>
    <t>Banamex</t>
  </si>
  <si>
    <t>Scotiabank Inverlat</t>
  </si>
  <si>
    <t>Escuela Superior de Trabajo Social Culiacán</t>
  </si>
  <si>
    <t>Esc.de Estudios Internacionales y Políticas Púb.</t>
  </si>
  <si>
    <t>UAS-Gasto Operativo</t>
  </si>
  <si>
    <t>UAS-Ingresos Caja</t>
  </si>
  <si>
    <t>UAS Control</t>
  </si>
  <si>
    <t>UAS Colegiatura Ingresos Propios</t>
  </si>
  <si>
    <t>Escuela de Ciencias Computacionales</t>
  </si>
  <si>
    <t>Escuela de Artes Plásticas</t>
  </si>
  <si>
    <t>00176690748</t>
  </si>
  <si>
    <t>Departamento de Archivo General</t>
  </si>
  <si>
    <t>Escuela Preparatoria Genaro Vázquez Rojas</t>
  </si>
  <si>
    <t>Centro de Idiomas Culiacán</t>
  </si>
  <si>
    <t>Escuela de Enfermería Los Mochis</t>
  </si>
  <si>
    <t>Coordinación General de Planeación y Desarrollo</t>
  </si>
  <si>
    <t>Coordinación General Zona Centro Norte</t>
  </si>
  <si>
    <t>Coordinación Académica Zona Norte</t>
  </si>
  <si>
    <t>Escuela Preparatoria San Blas</t>
  </si>
  <si>
    <t>Coord. General de Acceso a la Información Pública</t>
  </si>
  <si>
    <t>Centro de Idiomas Navolato</t>
  </si>
  <si>
    <t>Escuela Preparatoria La Reforma</t>
  </si>
  <si>
    <t>Escuela de Derecho Guasave</t>
  </si>
  <si>
    <t>Facultad de Medicina Culiacán</t>
  </si>
  <si>
    <t>Fideicomiso PIFI 3.1</t>
  </si>
  <si>
    <t>Donaciones</t>
  </si>
  <si>
    <t>Seguridad para resguardo de valores</t>
  </si>
  <si>
    <t>Representación de la UAS en México</t>
  </si>
  <si>
    <t>Retenciones por Pagar</t>
  </si>
  <si>
    <t>Anticipo a cuenta de sueldo</t>
  </si>
  <si>
    <t>Anticipo a descuentos retenidos</t>
  </si>
  <si>
    <t>Reposición de cheques de caja cta. puente</t>
  </si>
  <si>
    <t xml:space="preserve"> Cuotas sindicato</t>
  </si>
  <si>
    <t>Fondo alternativo</t>
  </si>
  <si>
    <t>Fondo revolvente</t>
  </si>
  <si>
    <t>Reposición de Cheques de Caja cta. puente</t>
  </si>
  <si>
    <t>Trasp.bancarios por liquidez (Sueldos)</t>
  </si>
  <si>
    <t>Trasp.bancarios por liquidez (Prog.de ret.)</t>
  </si>
  <si>
    <t>Trasp.bancarios por liquidez (Carrera docente)</t>
  </si>
  <si>
    <t>00188381414</t>
  </si>
  <si>
    <t>UAS Inversiones</t>
  </si>
  <si>
    <t>UAS Ingresos Caja General</t>
  </si>
  <si>
    <t>Subtotal Ingresos Propios</t>
  </si>
  <si>
    <t>Total Intereses Generados</t>
  </si>
  <si>
    <t xml:space="preserve">Relación de Otros Ingresos  </t>
  </si>
  <si>
    <t xml:space="preserve">Análisis de Ingresos por Proyectos Especiales </t>
  </si>
  <si>
    <t>Subtotal Servicios Personales</t>
  </si>
  <si>
    <t>Total Servicios Personales</t>
  </si>
  <si>
    <t xml:space="preserve">Relación de Otros Tipos de Ingresos Propios </t>
  </si>
  <si>
    <t xml:space="preserve">Relación de Pagos por Servicios Personales </t>
  </si>
  <si>
    <t xml:space="preserve">Relación de Pagos por Materiales de Consumo </t>
  </si>
  <si>
    <t>S u b t o t a l</t>
  </si>
  <si>
    <t>Caja General</t>
  </si>
  <si>
    <t>Dirección de Servicio Social Universitario</t>
  </si>
  <si>
    <t>Coordinación General de Centro de Idiomas</t>
  </si>
  <si>
    <t>Escuela Preparatoria Dr.Salvador Allende</t>
  </si>
  <si>
    <t>Coordinación General de PROMEP</t>
  </si>
  <si>
    <t>Facultad de Medicina de Culiacán</t>
  </si>
  <si>
    <t>Facultad de Medicina Veterinaria y Zootecnia</t>
  </si>
  <si>
    <t>Facultad de Odontología Culiacán</t>
  </si>
  <si>
    <t>Facultad de Derecho y Ciencias Soc. Culiacán</t>
  </si>
  <si>
    <t>Escuela de Superior de Educ.Física Culiacán</t>
  </si>
  <si>
    <t>Facultad de Ingeniería Culiacán</t>
  </si>
  <si>
    <t>Escuela de Ingeniería Los Mochis</t>
  </si>
  <si>
    <t>Facultad de Ciencias Sociales Mazatlán</t>
  </si>
  <si>
    <t>Escuela Preparatoria Víctor Manuel Tirado L.</t>
  </si>
  <si>
    <t>Centro de Idiomas Los Mochis</t>
  </si>
  <si>
    <t>Centro de Idiomas Guasave</t>
  </si>
  <si>
    <t>Centro de Idiomas Mazatlán</t>
  </si>
  <si>
    <t>Fideicomiso PIFIEMS 2004</t>
  </si>
  <si>
    <t>Escuela de Música</t>
  </si>
  <si>
    <t>Horas extras</t>
  </si>
  <si>
    <t>Comisiones bancarias</t>
  </si>
  <si>
    <t>Estacionamientos</t>
  </si>
  <si>
    <t>Artículos y materiales diversos</t>
  </si>
  <si>
    <t>Anticipo a cuenta de aguinaldo</t>
  </si>
  <si>
    <t xml:space="preserve"> Cuotas generales</t>
  </si>
  <si>
    <t>Embargo judicial</t>
  </si>
  <si>
    <t>Descuentos bancos</t>
  </si>
  <si>
    <t>Anticipo a Proveedores</t>
  </si>
  <si>
    <t>Diverso mobiliario y equipo de oficina</t>
  </si>
  <si>
    <t>Mobiliario y Equipo</t>
  </si>
  <si>
    <t>Bonos (Material didáctico por documentar)</t>
  </si>
  <si>
    <t>Acreedores diversos</t>
  </si>
  <si>
    <t>Impuestos por Pagar</t>
  </si>
  <si>
    <t>00188381384</t>
  </si>
  <si>
    <t>Proyectos Diversos</t>
  </si>
  <si>
    <t>2000677-001</t>
  </si>
  <si>
    <t>PIFIEMS 2004</t>
  </si>
  <si>
    <t>Consultas médicas</t>
  </si>
  <si>
    <t>Entrega de donativos en custodia efectivo</t>
  </si>
  <si>
    <t>Antigüedad</t>
  </si>
  <si>
    <t>ISR</t>
  </si>
  <si>
    <t>ISR ret. 10%</t>
  </si>
  <si>
    <t>IVA ret. 10%</t>
  </si>
  <si>
    <t xml:space="preserve">Cuentas de Cheques     </t>
  </si>
  <si>
    <t>4)</t>
  </si>
  <si>
    <t>5)</t>
  </si>
  <si>
    <t>6)</t>
  </si>
  <si>
    <t xml:space="preserve">      entregan en fechas posteriores para su cobro.</t>
  </si>
  <si>
    <t>65501752447</t>
  </si>
  <si>
    <t>DE ANEXO</t>
  </si>
  <si>
    <t>NUMERO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</si>
  <si>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</si>
  <si>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</si>
  <si>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</si>
  <si>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</si>
  <si>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</si>
  <si>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</si>
  <si>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</si>
  <si>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</si>
  <si>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</si>
  <si>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 </t>
  </si>
  <si>
    <t>CUENTAS POR COBRAR</t>
  </si>
  <si>
    <t>CUENTAS POR PAGAR</t>
  </si>
  <si>
    <t>Subtotal</t>
  </si>
  <si>
    <t>ADQUISICIONES Y OTROS</t>
  </si>
  <si>
    <t>Traspasos bancarios</t>
  </si>
  <si>
    <t>Subtotal cuentas por cobrar y adquisiciones</t>
  </si>
  <si>
    <t>Subtotal cuentas por pagar</t>
  </si>
  <si>
    <t>Subtotal por traspasos bancarios</t>
  </si>
  <si>
    <t>Subtotal cuentas por cobrar</t>
  </si>
  <si>
    <t>Ayuda para educación</t>
  </si>
  <si>
    <t>Terrenos</t>
  </si>
  <si>
    <t>Bienes Inmuebles</t>
  </si>
  <si>
    <t>Alimentación (casas asistenciales)</t>
  </si>
  <si>
    <t>Devolución de ingresos institucionales</t>
  </si>
  <si>
    <t>Evento cultural</t>
  </si>
  <si>
    <t>Dirección de Promoción Financiera</t>
  </si>
  <si>
    <t>Dirección de Control de Bienes e Inventarios</t>
  </si>
  <si>
    <t>Escuela de Superior de Trabajo Social Culiacán</t>
  </si>
  <si>
    <t>Centro de Computo Universitario</t>
  </si>
  <si>
    <t>Escuela Preparatoria Central Diurna</t>
  </si>
  <si>
    <t>UAS Colegiaturas La Cruz</t>
  </si>
  <si>
    <t>Fideicomiso FAM 2005</t>
  </si>
  <si>
    <t>Reposición de chs.de caja x canc.ctas.admón.ant.</t>
  </si>
  <si>
    <t>UAS-Control 2005</t>
  </si>
  <si>
    <t>Fideicomiso FAM-2005</t>
  </si>
  <si>
    <t>2000789-001</t>
  </si>
  <si>
    <t>SUNTUAS Académico</t>
  </si>
  <si>
    <t>Departamento de Servicio Social Zona Norte</t>
  </si>
  <si>
    <t>Torre Académica Mazatlán</t>
  </si>
  <si>
    <t>Exoneraciones por apoyos</t>
  </si>
  <si>
    <t>Secretaria Académica de Rectoría</t>
  </si>
  <si>
    <t>Tribunal Universitario</t>
  </si>
  <si>
    <t>Escuela Preparatoria Choix</t>
  </si>
  <si>
    <t>Comisiones Mixtas</t>
  </si>
  <si>
    <t>Coord. General Zona Centro B</t>
  </si>
  <si>
    <t>Material didáctico ( Libros, revistas y otros )</t>
  </si>
  <si>
    <t>Ayuda de mudanzas</t>
  </si>
  <si>
    <t>Renta de otros espacios</t>
  </si>
  <si>
    <t>Desistimiento de embargo</t>
  </si>
  <si>
    <t>Anticipo a cuenta de prima vacacional</t>
  </si>
  <si>
    <t>Centro de Cómputo Universitario</t>
  </si>
  <si>
    <t>Coordinación General Zona Centro Norte Guasave</t>
  </si>
  <si>
    <t>Coordinación Académica Zona Sur</t>
  </si>
  <si>
    <t>Asuntos Jurídicos Mazatlán</t>
  </si>
  <si>
    <t>Coordinación de Doctorado en Ciencias Sociales</t>
  </si>
  <si>
    <t>Coord. Gral. De Ext. Cultural y los Servicios</t>
  </si>
  <si>
    <t>Fideicomiso Fondo de Equidad 2005</t>
  </si>
  <si>
    <t>Fideicomiso PIFI 3.2</t>
  </si>
  <si>
    <t>Fideicomiso PIFI  3.2</t>
  </si>
  <si>
    <t>2000923-000</t>
  </si>
  <si>
    <t>2000924-000</t>
  </si>
  <si>
    <t>Faltas académicas</t>
  </si>
  <si>
    <t>Departamento de Deportes Zona Sur</t>
  </si>
  <si>
    <t>Mesas, escritorios, barras fijas</t>
  </si>
  <si>
    <t>Archiveros, tarjeteros, cajas de seguridad y cardex</t>
  </si>
  <si>
    <t>Mesas de trabajo para aulas y bibliotecas</t>
  </si>
  <si>
    <t>Estantes, postes y entrepaños</t>
  </si>
  <si>
    <t>Publicaciones</t>
  </si>
  <si>
    <t>UAS-Fondo de Equidad 2005</t>
  </si>
  <si>
    <t>Pizarrones y pintarrones</t>
  </si>
  <si>
    <t>Sillas apilables y fijas</t>
  </si>
  <si>
    <t>Diverso mobiliario y equipo escolar</t>
  </si>
  <si>
    <t>Equipo de radio comunicaciones y redes</t>
  </si>
  <si>
    <r>
      <t xml:space="preserve">1.- </t>
    </r>
    <r>
      <rPr>
        <sz val="8"/>
        <rFont val="Arial"/>
        <family val="2"/>
      </rPr>
      <t>Cuentas bancarias de la administración anterior canceladas, que siguen apareciendo con saldo  en libros.</t>
    </r>
  </si>
  <si>
    <r>
      <t xml:space="preserve">2.- </t>
    </r>
    <r>
      <rPr>
        <sz val="8"/>
        <rFont val="Arial"/>
        <family val="2"/>
      </rPr>
      <t>Cuentas bancarias de la administración anterior bloqueadas por el INFONAVIT.</t>
    </r>
  </si>
  <si>
    <t>Escuela Preparatoria Guamúchil</t>
  </si>
  <si>
    <t>Escuela de Idiomas Guamúchil</t>
  </si>
  <si>
    <t>Relación de Partidas por Comprobar Viáticos</t>
  </si>
  <si>
    <t>Instituto de Investigaciones Económico y Sociales</t>
  </si>
  <si>
    <t>Jardín de Niños</t>
  </si>
  <si>
    <t>Mant. de edificio, jardinerías y u. deportivas</t>
  </si>
  <si>
    <t>Préstamo personal</t>
  </si>
  <si>
    <t>Sillas, sillones, sofás y bancas</t>
  </si>
  <si>
    <t>Proyectores, Pantallas, Cámaras, T.V., Grabadoras</t>
  </si>
  <si>
    <t>Equipo de transporte ( automóvil )</t>
  </si>
  <si>
    <t>UNIVERSIDAD AUTÓNOMA DE SINALOA</t>
  </si>
  <si>
    <t>TESORERÍA GENERAL</t>
  </si>
  <si>
    <t>Mayo 2006</t>
  </si>
  <si>
    <t>Subsidio Estatal Extraordinario</t>
  </si>
  <si>
    <t>05 de Mayo</t>
  </si>
  <si>
    <t>17 de Mayo</t>
  </si>
  <si>
    <t>Extraordinario</t>
  </si>
  <si>
    <t>Consejo Estatal de Ciencia y Tecnología</t>
  </si>
  <si>
    <t>12 de Mayo</t>
  </si>
  <si>
    <t>Específico</t>
  </si>
  <si>
    <t>Fondo Institucional para el Fomento de la Ciencia</t>
  </si>
  <si>
    <t>Servicios específicos</t>
  </si>
  <si>
    <t>Subsidio Federal Específico</t>
  </si>
  <si>
    <t>Mayo</t>
  </si>
  <si>
    <t>Junio</t>
  </si>
  <si>
    <t>01 de Junio</t>
  </si>
  <si>
    <t>02 de Junio</t>
  </si>
  <si>
    <t>07 de Junio</t>
  </si>
  <si>
    <t>08 de Junio</t>
  </si>
  <si>
    <t>Junio 2006</t>
  </si>
  <si>
    <t>UAS-Ingresos Especiales</t>
  </si>
  <si>
    <t>Departamento de Prestaciones Sociales Mazatlán</t>
  </si>
  <si>
    <t>Coord. Gral. de Investigación y Posgrado Zona Sur</t>
  </si>
  <si>
    <t xml:space="preserve">Coord. General de Asesores </t>
  </si>
  <si>
    <t>Centro de Investigaciones Biológicas y D. S.</t>
  </si>
  <si>
    <t xml:space="preserve">Escuela Prep.8 de Julio </t>
  </si>
  <si>
    <t>Escuela Preparatoria Guasave Nocturna</t>
  </si>
  <si>
    <t>Departamento de Deportes Zona Centro Norte</t>
  </si>
  <si>
    <t>Torre Académica Los Mochis</t>
  </si>
  <si>
    <t>Departamento de Legalización</t>
  </si>
  <si>
    <t>Departamento de Promoción Financiera Zona Sur</t>
  </si>
  <si>
    <t>Escuela Preparatoria Semiescolarizada</t>
  </si>
  <si>
    <t>Lic. en Nutrición</t>
  </si>
  <si>
    <t>Escuela Prep.8 de Julio Ext. Gabino Barreda</t>
  </si>
  <si>
    <t>Julio</t>
  </si>
  <si>
    <t>del 01 de Mayo al 31 de Julio de 2006</t>
  </si>
  <si>
    <t>Difusión</t>
  </si>
  <si>
    <t>Seguros y fianzas</t>
  </si>
  <si>
    <t>Anticipo a estímulo carrera docente</t>
  </si>
  <si>
    <t>Proyectos Fondo de Equidad 2005</t>
  </si>
  <si>
    <t>Apoyo cartera asuntos académicos sindical</t>
  </si>
  <si>
    <t xml:space="preserve">Ayuda para impresión de tesis </t>
  </si>
  <si>
    <t>Mant. de equipo de radio</t>
  </si>
  <si>
    <t>Agua purificada</t>
  </si>
  <si>
    <t>Materiales de limpieza</t>
  </si>
  <si>
    <t>Asesorias</t>
  </si>
  <si>
    <t>Apoyo cartera educación sindical</t>
  </si>
  <si>
    <t>Boletos de avión</t>
  </si>
  <si>
    <t>Mobiliario y equipo para bibliotecas</t>
  </si>
  <si>
    <t>Diverso mob.y equipo de laboratorios y clínicas</t>
  </si>
  <si>
    <t>Mant. de mobiliario y equipo escolar</t>
  </si>
  <si>
    <t>Libros, revistas y folletos</t>
  </si>
  <si>
    <t>03 de Julio</t>
  </si>
  <si>
    <t>07 de Julio</t>
  </si>
  <si>
    <t>13 de Julio</t>
  </si>
  <si>
    <t>Julio 2006</t>
  </si>
  <si>
    <t>Prima vacacional</t>
  </si>
  <si>
    <t>Becas</t>
  </si>
  <si>
    <t>Trasp.bancarios por liquidez (Prima vacacional)</t>
  </si>
  <si>
    <t>Comisión Nacional del Agua</t>
  </si>
  <si>
    <t>Del Campo y Asociados S. A. de C. V.</t>
  </si>
  <si>
    <t>Saldo en Bancos e Inversiones al 31 de Julio de 2006</t>
  </si>
  <si>
    <r>
      <t xml:space="preserve">3.- </t>
    </r>
    <r>
      <rPr>
        <sz val="8"/>
        <rFont val="Arial"/>
        <family val="2"/>
      </rPr>
      <t xml:space="preserve">Se refleja saldo negativo por elaboración de cheques el día 31 de Julio, se encuentran en transito  y se </t>
    </r>
  </si>
  <si>
    <r>
      <t>4.-</t>
    </r>
    <r>
      <rPr>
        <sz val="8"/>
        <rFont val="Arial"/>
        <family val="2"/>
      </rPr>
      <t xml:space="preserve"> Equivale a $ 1,479.93 dlls. al tipo de cambio de $ 10.76 pesos.</t>
    </r>
  </si>
  <si>
    <r>
      <t>5.</t>
    </r>
    <r>
      <rPr>
        <sz val="8"/>
        <rFont val="Arial"/>
        <family val="2"/>
      </rPr>
      <t xml:space="preserve">- Equivale a $ 83,338.78 dlls. al tipo de cambio de $ 10.76 pesos.  </t>
    </r>
  </si>
  <si>
    <r>
      <t>6.</t>
    </r>
    <r>
      <rPr>
        <sz val="8"/>
        <rFont val="Arial"/>
        <family val="2"/>
      </rPr>
      <t xml:space="preserve">- Equivale a $ 47,166.90 dlls. al tipo de cambio de $ 10.76 pesos.  </t>
    </r>
  </si>
  <si>
    <r>
      <t>1)</t>
    </r>
    <r>
      <rPr>
        <sz val="8"/>
        <rFont val="Arial"/>
        <family val="2"/>
      </rPr>
      <t xml:space="preserve"> Cuentas de pasivo incluidas en la Relación de Pagos por Servicios Personales, por representar salidas    de efectivo.</t>
    </r>
  </si>
  <si>
    <r>
      <t>2)</t>
    </r>
    <r>
      <rPr>
        <sz val="8"/>
        <rFont val="Arial"/>
        <family val="2"/>
      </rPr>
      <t xml:space="preserve"> Devolución por desistimiento de embargos de Primas de Jubilación, Indemnizaciones, Salarios caidos, etc.</t>
    </r>
  </si>
  <si>
    <t>Otros eq.ofna.telef.fax,enfriadores agua,aspiradoras</t>
  </si>
  <si>
    <t>Estantes, gabinetes, vitr., librs, credenza, armarios</t>
  </si>
  <si>
    <t>Depto. de Construcción y Mantenimiento Zona Sur</t>
  </si>
  <si>
    <t>Depto. de Difusión Cultural y Extensión Zona Norte</t>
  </si>
  <si>
    <t>Depto. de Control de Becas al Desempeño Acad.</t>
  </si>
  <si>
    <t>Coord.Gral.de Investigación y Posgrado Zona Norte</t>
  </si>
  <si>
    <t>Escuela Superior de Agricultura del Valle del Fte.</t>
  </si>
  <si>
    <t>Escuela de Admón. Agropecuaria y Desarrollo R.</t>
  </si>
  <si>
    <t>$</t>
  </si>
  <si>
    <t>Pago estimaciones varias FAM-2005.</t>
  </si>
  <si>
    <t>Anticipo del 35% de Subsidio Estatal equivalente a los recursos del 2%  destinados para la infraestructura del año 2005:</t>
  </si>
  <si>
    <t>Remodelación de laboratorios de la Esc. De Medicina  Veterinaria y Zootécnia</t>
  </si>
  <si>
    <t>Construcción de Comedor Gourmet C.U. Culiacán</t>
  </si>
  <si>
    <t>Remodelación de servicios sanitarios de la Esc. De Agronomía Culiacán</t>
  </si>
  <si>
    <t>Presupuesto complementario para Teatro Apolo</t>
  </si>
  <si>
    <t>Construcción de Módulo 13EE 1N Esc. Prep. Escuinapa</t>
  </si>
  <si>
    <t>Construcción de Centro de Cómputo y Aulas de Esc. Prep. Aguaruto</t>
  </si>
  <si>
    <t>Construcción de Módulo para 9 aulas (7EE 3N) Esc. Prep. Rubén Jaramillo</t>
  </si>
  <si>
    <t>Construcción de cafetería de Esc. Prep. Emiliano Zapata</t>
  </si>
  <si>
    <t>Ampliación y remozamiento de espacios de Esc. Ingeniería Mochis</t>
  </si>
  <si>
    <t>Construcción de Módulo para 3 aulas y sanitario de Esc. Derecho Mochis</t>
  </si>
  <si>
    <t>Construcción  de Módulo para 9EE 2N (aulas) Esc. Prep. Badiraguato</t>
  </si>
  <si>
    <t>Construcción de servicios sanitarios de Esc. Prep. Las Brisas</t>
  </si>
  <si>
    <t>Construcción de Módulo 13EE eN (1a. Etapa) de Esc. Prep. Rafael Buelna</t>
  </si>
  <si>
    <t>Construcción de oficinas administrativas /6EE 1N) Coordinación Zona</t>
  </si>
  <si>
    <t>Construcción de Módulo 2 niveles cubículos y sanitariosde Esc. De Economía</t>
  </si>
  <si>
    <t>Construcción de Módulo para 5 aulas y sanitarios (7EE 2N) de Esc. Prep. Ruiz Cortínez</t>
  </si>
  <si>
    <t>Presupuesto complementario para equipamiento de Teatro Apolo</t>
  </si>
  <si>
    <t>Apoyo del Gobierno del Estado para adquisición de equipo de internet.</t>
  </si>
  <si>
    <t>Apoyo de DIFOCUR por cofinanciamiento para la rehabilitación y equipamiento del Nuevo Teatro Apolo.</t>
  </si>
  <si>
    <t>Apoyo del Gobierno del Estado para restauración de la alberca olímpica.</t>
  </si>
  <si>
    <t>Apoyo de Cía. Embotelladora del Pacífico, S.A. de C.V., pro-mejoras de la Esc. Prep. La Cruz, Extensión Potrerillos, ubicada en Potrerillos, Elota, Sinaloa.</t>
  </si>
  <si>
    <t>Apoyo de la Junta Municipal de Agua Potable y Alcantarillado de Mazatlán, Sinaloa, para la Educación Superior de la Universidad Autónoma de Sinaloa.</t>
  </si>
  <si>
    <t>ESTADO DE FLUJO DE EFECTIVO POR EL PERIODO</t>
  </si>
  <si>
    <t>COMPRENDIDO DEL 01 DE MAYO AL 31 DE JULIO  DE 2006</t>
  </si>
  <si>
    <t>MAS:</t>
  </si>
  <si>
    <t>MENOS:</t>
  </si>
  <si>
    <t>INGRESOS DEL PERIODO:</t>
  </si>
  <si>
    <t>EGRESOS DEL PERIODO: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</si>
</sst>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[$$-80A]* #,##0.00_ ;_-[$$-80A]* \-#,##0.00\ ;_-[$$-80A]* &quot;-&quot;??_ ;_-@_ "/>
    <numFmt numFmtId="174" formatCode="_-* #,##0.00\ _P_t_s_-;\-* #,##0.00\ _P_t_s_-;_-* &quot;-&quot;\ _P_t_s_-;_-@_-"/>
    <numFmt numFmtId="175" formatCode="#,##0.00_ ;[Red]\-#,##0.00\ 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\ ###\ ##0.00_ ;\(#\ ###\ ##0.00\)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171" fontId="6" fillId="0" borderId="0" xfId="15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6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3" fontId="6" fillId="0" borderId="0" xfId="0" applyNumberFormat="1" applyFont="1" applyFill="1" applyBorder="1" applyAlignment="1">
      <alignment/>
    </xf>
    <xf numFmtId="172" fontId="6" fillId="0" borderId="0" xfId="21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6" fillId="0" borderId="1" xfId="0" applyNumberFormat="1" applyFont="1" applyFill="1" applyBorder="1" applyAlignment="1">
      <alignment/>
    </xf>
    <xf numFmtId="172" fontId="6" fillId="0" borderId="1" xfId="21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2" fontId="6" fillId="0" borderId="0" xfId="20" applyNumberFormat="1" applyFont="1" applyFill="1" applyBorder="1" applyAlignment="1">
      <alignment/>
    </xf>
    <xf numFmtId="172" fontId="5" fillId="0" borderId="0" xfId="21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21" applyNumberFormat="1" applyFont="1" applyFill="1" applyBorder="1" applyAlignment="1">
      <alignment/>
    </xf>
    <xf numFmtId="4" fontId="6" fillId="0" borderId="0" xfId="21" applyNumberFormat="1" applyFont="1" applyFill="1" applyBorder="1" applyAlignment="1">
      <alignment/>
    </xf>
    <xf numFmtId="4" fontId="5" fillId="0" borderId="0" xfId="21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6" fillId="0" borderId="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0" xfId="21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19" applyNumberFormat="1" applyFont="1" applyFill="1" applyAlignment="1">
      <alignment/>
    </xf>
    <xf numFmtId="4" fontId="6" fillId="0" borderId="0" xfId="15" applyNumberFormat="1" applyFont="1" applyFill="1" applyBorder="1" applyAlignment="1">
      <alignment/>
    </xf>
    <xf numFmtId="4" fontId="5" fillId="0" borderId="0" xfId="20" applyNumberFormat="1" applyFont="1" applyFill="1" applyBorder="1" applyAlignment="1">
      <alignment/>
    </xf>
    <xf numFmtId="4" fontId="6" fillId="0" borderId="0" xfId="20" applyNumberFormat="1" applyFont="1" applyFill="1" applyBorder="1" applyAlignment="1">
      <alignment/>
    </xf>
    <xf numFmtId="4" fontId="6" fillId="0" borderId="0" xfId="20" applyNumberFormat="1" applyFont="1" applyFill="1" applyBorder="1" applyAlignment="1">
      <alignment/>
    </xf>
    <xf numFmtId="4" fontId="5" fillId="0" borderId="2" xfId="19" applyNumberFormat="1" applyFont="1" applyFill="1" applyBorder="1" applyAlignment="1">
      <alignment/>
    </xf>
    <xf numFmtId="4" fontId="5" fillId="0" borderId="0" xfId="19" applyNumberFormat="1" applyFont="1" applyFill="1" applyBorder="1" applyAlignment="1">
      <alignment/>
    </xf>
    <xf numFmtId="2" fontId="6" fillId="0" borderId="0" xfId="23" applyNumberFormat="1" applyFont="1" applyFill="1" applyBorder="1" applyAlignment="1">
      <alignment horizontal="right"/>
    </xf>
    <xf numFmtId="2" fontId="6" fillId="0" borderId="1" xfId="23" applyNumberFormat="1" applyFont="1" applyFill="1" applyBorder="1" applyAlignment="1">
      <alignment horizontal="right"/>
    </xf>
    <xf numFmtId="2" fontId="6" fillId="0" borderId="0" xfId="23" applyNumberFormat="1" applyFont="1" applyFill="1" applyAlignment="1">
      <alignment horizontal="right"/>
    </xf>
    <xf numFmtId="2" fontId="6" fillId="0" borderId="0" xfId="23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1" fontId="6" fillId="0" borderId="0" xfId="15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0" fontId="1" fillId="0" borderId="0" xfId="17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" fontId="0" fillId="0" borderId="0" xfId="22" applyNumberFormat="1" applyFont="1" applyFill="1" applyBorder="1" applyAlignment="1">
      <alignment/>
    </xf>
    <xf numFmtId="4" fontId="1" fillId="0" borderId="0" xfId="22" applyNumberFormat="1" applyFont="1" applyFill="1" applyBorder="1" applyAlignment="1">
      <alignment/>
    </xf>
    <xf numFmtId="4" fontId="1" fillId="0" borderId="0" xfId="17" applyNumberFormat="1" applyFont="1" applyFill="1" applyBorder="1" applyAlignment="1">
      <alignment/>
    </xf>
    <xf numFmtId="4" fontId="0" fillId="0" borderId="0" xfId="22" applyNumberFormat="1" applyFont="1" applyFill="1" applyAlignment="1">
      <alignment/>
    </xf>
    <xf numFmtId="4" fontId="0" fillId="0" borderId="0" xfId="17" applyNumberFormat="1" applyFont="1" applyFill="1" applyAlignment="1">
      <alignment/>
    </xf>
    <xf numFmtId="43" fontId="0" fillId="0" borderId="0" xfId="22" applyNumberFormat="1" applyFont="1" applyFill="1" applyBorder="1" applyAlignment="1">
      <alignment/>
    </xf>
    <xf numFmtId="4" fontId="2" fillId="0" borderId="0" xfId="22" applyNumberFormat="1" applyFont="1" applyFill="1" applyBorder="1" applyAlignment="1">
      <alignment/>
    </xf>
    <xf numFmtId="4" fontId="0" fillId="0" borderId="0" xfId="22" applyNumberFormat="1" applyFont="1" applyFill="1" applyBorder="1" applyAlignment="1">
      <alignment/>
    </xf>
    <xf numFmtId="4" fontId="0" fillId="0" borderId="0" xfId="17" applyNumberFormat="1" applyFont="1" applyFill="1" applyAlignment="1">
      <alignment horizontal="right"/>
    </xf>
    <xf numFmtId="43" fontId="0" fillId="0" borderId="0" xfId="22" applyNumberFormat="1" applyFont="1" applyFill="1" applyBorder="1" applyAlignment="1">
      <alignment horizontal="right"/>
    </xf>
    <xf numFmtId="4" fontId="8" fillId="0" borderId="0" xfId="22" applyNumberFormat="1" applyFont="1" applyFill="1" applyAlignment="1">
      <alignment/>
    </xf>
    <xf numFmtId="43" fontId="8" fillId="0" borderId="0" xfId="22" applyNumberFormat="1" applyFont="1" applyFill="1" applyBorder="1" applyAlignment="1">
      <alignment/>
    </xf>
    <xf numFmtId="4" fontId="0" fillId="0" borderId="0" xfId="22" applyNumberFormat="1" applyFont="1" applyFill="1" applyAlignment="1">
      <alignment/>
    </xf>
    <xf numFmtId="4" fontId="0" fillId="0" borderId="0" xfId="22" applyNumberFormat="1" applyFont="1" applyFill="1" applyAlignment="1">
      <alignment horizontal="right"/>
    </xf>
    <xf numFmtId="4" fontId="11" fillId="0" borderId="0" xfId="22" applyNumberFormat="1" applyFont="1" applyFill="1" applyAlignment="1">
      <alignment/>
    </xf>
    <xf numFmtId="4" fontId="0" fillId="0" borderId="0" xfId="22" applyNumberFormat="1" applyFont="1" applyFill="1" applyBorder="1" applyAlignment="1">
      <alignment horizontal="right"/>
    </xf>
    <xf numFmtId="4" fontId="9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175" fontId="0" fillId="0" borderId="0" xfId="22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2" fontId="6" fillId="0" borderId="0" xfId="21" applyNumberFormat="1" applyFont="1" applyFill="1" applyBorder="1" applyAlignment="1">
      <alignment horizontal="right"/>
    </xf>
    <xf numFmtId="172" fontId="5" fillId="0" borderId="6" xfId="21" applyNumberFormat="1" applyFont="1" applyFill="1" applyBorder="1" applyAlignment="1">
      <alignment/>
    </xf>
    <xf numFmtId="172" fontId="5" fillId="0" borderId="6" xfId="21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21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4" fontId="5" fillId="0" borderId="11" xfId="21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 horizontal="right"/>
    </xf>
    <xf numFmtId="43" fontId="5" fillId="0" borderId="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171" fontId="6" fillId="0" borderId="0" xfId="19" applyNumberFormat="1" applyFont="1" applyFill="1" applyAlignment="1">
      <alignment/>
    </xf>
    <xf numFmtId="4" fontId="5" fillId="0" borderId="11" xfId="19" applyNumberFormat="1" applyFont="1" applyFill="1" applyBorder="1" applyAlignment="1">
      <alignment/>
    </xf>
    <xf numFmtId="171" fontId="5" fillId="0" borderId="11" xfId="19" applyNumberFormat="1" applyFont="1" applyFill="1" applyBorder="1" applyAlignment="1">
      <alignment/>
    </xf>
    <xf numFmtId="4" fontId="6" fillId="0" borderId="0" xfId="19" applyNumberFormat="1" applyFont="1" applyFill="1" applyBorder="1" applyAlignment="1">
      <alignment/>
    </xf>
    <xf numFmtId="171" fontId="6" fillId="0" borderId="0" xfId="15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171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1" fontId="6" fillId="0" borderId="0" xfId="15" applyFont="1" applyFill="1" applyAlignment="1">
      <alignment horizontal="right"/>
    </xf>
    <xf numFmtId="171" fontId="5" fillId="0" borderId="11" xfId="19" applyNumberFormat="1" applyFont="1" applyFill="1" applyBorder="1" applyAlignment="1">
      <alignment horizontal="right"/>
    </xf>
    <xf numFmtId="4" fontId="5" fillId="0" borderId="6" xfId="15" applyNumberFormat="1" applyFont="1" applyFill="1" applyBorder="1" applyAlignment="1">
      <alignment/>
    </xf>
    <xf numFmtId="4" fontId="5" fillId="0" borderId="6" xfId="19" applyNumberFormat="1" applyFont="1" applyFill="1" applyBorder="1" applyAlignment="1">
      <alignment/>
    </xf>
    <xf numFmtId="171" fontId="5" fillId="0" borderId="6" xfId="19" applyNumberFormat="1" applyFont="1" applyFill="1" applyBorder="1" applyAlignment="1">
      <alignment horizontal="right"/>
    </xf>
    <xf numFmtId="171" fontId="6" fillId="0" borderId="0" xfId="15" applyFont="1" applyFill="1" applyBorder="1" applyAlignment="1">
      <alignment/>
    </xf>
    <xf numFmtId="171" fontId="5" fillId="0" borderId="6" xfId="15" applyFont="1" applyFill="1" applyBorder="1" applyAlignment="1">
      <alignment horizontal="right"/>
    </xf>
    <xf numFmtId="171" fontId="6" fillId="0" borderId="0" xfId="15" applyFont="1" applyFill="1" applyAlignment="1">
      <alignment/>
    </xf>
    <xf numFmtId="171" fontId="5" fillId="0" borderId="0" xfId="15" applyFont="1" applyFill="1" applyBorder="1" applyAlignment="1">
      <alignment horizontal="center"/>
    </xf>
    <xf numFmtId="171" fontId="0" fillId="0" borderId="0" xfId="15" applyFill="1" applyAlignment="1">
      <alignment/>
    </xf>
    <xf numFmtId="2" fontId="6" fillId="0" borderId="0" xfId="23" applyNumberFormat="1" applyFont="1" applyFill="1" applyAlignment="1">
      <alignment horizontal="center"/>
    </xf>
    <xf numFmtId="4" fontId="5" fillId="0" borderId="11" xfId="20" applyNumberFormat="1" applyFont="1" applyFill="1" applyBorder="1" applyAlignment="1">
      <alignment/>
    </xf>
    <xf numFmtId="172" fontId="6" fillId="0" borderId="0" xfId="20" applyNumberFormat="1" applyFont="1" applyFill="1" applyBorder="1" applyAlignment="1">
      <alignment/>
    </xf>
    <xf numFmtId="4" fontId="6" fillId="0" borderId="2" xfId="20" applyNumberFormat="1" applyFont="1" applyFill="1" applyBorder="1" applyAlignment="1">
      <alignment/>
    </xf>
    <xf numFmtId="2" fontId="6" fillId="0" borderId="2" xfId="23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right"/>
    </xf>
    <xf numFmtId="4" fontId="5" fillId="0" borderId="0" xfId="15" applyNumberFormat="1" applyFont="1" applyFill="1" applyAlignment="1">
      <alignment/>
    </xf>
    <xf numFmtId="171" fontId="5" fillId="0" borderId="0" xfId="15" applyFont="1" applyFill="1" applyAlignment="1">
      <alignment/>
    </xf>
    <xf numFmtId="4" fontId="6" fillId="0" borderId="0" xfId="15" applyNumberFormat="1" applyFont="1" applyFill="1" applyAlignment="1">
      <alignment/>
    </xf>
    <xf numFmtId="4" fontId="0" fillId="0" borderId="0" xfId="15" applyNumberFormat="1" applyFill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43" fontId="5" fillId="0" borderId="6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5" fillId="0" borderId="11" xfId="2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4" fontId="6" fillId="0" borderId="0" xfId="2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4" fillId="0" borderId="0" xfId="22" applyNumberFormat="1" applyFont="1" applyFill="1" applyBorder="1" applyAlignment="1">
      <alignment horizontal="right"/>
    </xf>
    <xf numFmtId="4" fontId="4" fillId="0" borderId="0" xfId="17" applyNumberFormat="1" applyFont="1" applyFill="1" applyBorder="1" applyAlignment="1">
      <alignment/>
    </xf>
    <xf numFmtId="4" fontId="4" fillId="0" borderId="0" xfId="22" applyNumberFormat="1" applyFont="1" applyFill="1" applyAlignment="1">
      <alignment horizontal="right"/>
    </xf>
    <xf numFmtId="4" fontId="5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6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6" fillId="0" borderId="1" xfId="21" applyNumberFormat="1" applyFont="1" applyFill="1" applyBorder="1" applyAlignment="1">
      <alignment horizontal="right"/>
    </xf>
    <xf numFmtId="4" fontId="5" fillId="0" borderId="6" xfId="15" applyNumberFormat="1" applyFont="1" applyFill="1" applyBorder="1" applyAlignment="1">
      <alignment horizontal="right"/>
    </xf>
    <xf numFmtId="171" fontId="6" fillId="0" borderId="0" xfId="15" applyFont="1" applyFill="1" applyAlignment="1">
      <alignment/>
    </xf>
    <xf numFmtId="171" fontId="5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6" fillId="0" borderId="0" xfId="15" applyFont="1" applyFill="1" applyBorder="1" applyAlignment="1">
      <alignment/>
    </xf>
    <xf numFmtId="43" fontId="5" fillId="0" borderId="11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4" fillId="0" borderId="0" xfId="22" applyNumberFormat="1" applyFont="1" applyFill="1" applyBorder="1" applyAlignment="1">
      <alignment/>
    </xf>
    <xf numFmtId="4" fontId="13" fillId="0" borderId="0" xfId="22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14" fillId="0" borderId="0" xfId="15" applyNumberFormat="1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/>
    </xf>
    <xf numFmtId="4" fontId="4" fillId="0" borderId="0" xfId="17" applyNumberFormat="1" applyFont="1" applyFill="1" applyAlignment="1">
      <alignment/>
    </xf>
    <xf numFmtId="4" fontId="4" fillId="0" borderId="0" xfId="22" applyNumberFormat="1" applyFont="1" applyFill="1" applyAlignment="1">
      <alignment/>
    </xf>
    <xf numFmtId="4" fontId="4" fillId="0" borderId="0" xfId="22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17" applyNumberFormat="1" applyFont="1" applyFill="1" applyAlignment="1">
      <alignment horizontal="right"/>
    </xf>
    <xf numFmtId="4" fontId="14" fillId="0" borderId="0" xfId="22" applyNumberFormat="1" applyFont="1" applyFill="1" applyAlignment="1">
      <alignment/>
    </xf>
    <xf numFmtId="4" fontId="4" fillId="0" borderId="0" xfId="22" applyNumberFormat="1" applyFont="1" applyFill="1" applyAlignment="1">
      <alignment/>
    </xf>
    <xf numFmtId="183" fontId="4" fillId="0" borderId="0" xfId="22" applyNumberFormat="1" applyFont="1" applyFill="1" applyBorder="1" applyAlignment="1">
      <alignment horizontal="right"/>
    </xf>
    <xf numFmtId="183" fontId="4" fillId="0" borderId="0" xfId="17" applyNumberFormat="1" applyFont="1" applyFill="1" applyBorder="1" applyAlignment="1">
      <alignment/>
    </xf>
    <xf numFmtId="183" fontId="12" fillId="0" borderId="0" xfId="22" applyNumberFormat="1" applyFont="1" applyFill="1" applyAlignment="1">
      <alignment/>
    </xf>
    <xf numFmtId="0" fontId="6" fillId="0" borderId="0" xfId="0" applyFont="1" applyAlignment="1">
      <alignment wrapText="1"/>
    </xf>
    <xf numFmtId="183" fontId="12" fillId="0" borderId="0" xfId="0" applyNumberFormat="1" applyFont="1" applyFill="1" applyAlignment="1">
      <alignment/>
    </xf>
    <xf numFmtId="183" fontId="12" fillId="0" borderId="0" xfId="22" applyNumberFormat="1" applyFont="1" applyFill="1" applyAlignment="1">
      <alignment/>
    </xf>
    <xf numFmtId="183" fontId="12" fillId="0" borderId="0" xfId="22" applyNumberFormat="1" applyFont="1" applyFill="1" applyBorder="1" applyAlignment="1">
      <alignment/>
    </xf>
    <xf numFmtId="183" fontId="9" fillId="0" borderId="0" xfId="15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4" fillId="0" borderId="0" xfId="22" applyNumberFormat="1" applyFont="1" applyFill="1" applyAlignment="1">
      <alignment horizontal="right"/>
    </xf>
    <xf numFmtId="183" fontId="4" fillId="0" borderId="0" xfId="17" applyNumberFormat="1" applyFont="1" applyFill="1" applyAlignment="1">
      <alignment/>
    </xf>
    <xf numFmtId="183" fontId="8" fillId="0" borderId="0" xfId="22" applyNumberFormat="1" applyFont="1" applyFill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183" fontId="6" fillId="0" borderId="0" xfId="17" applyNumberFormat="1" applyFont="1" applyFill="1" applyBorder="1" applyAlignment="1">
      <alignment/>
    </xf>
    <xf numFmtId="0" fontId="5" fillId="0" borderId="0" xfId="0" applyFont="1" applyFill="1" applyAlignment="1">
      <alignment horizontal="left" vertical="justify"/>
    </xf>
    <xf numFmtId="183" fontId="6" fillId="0" borderId="1" xfId="17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vertical="justify"/>
    </xf>
    <xf numFmtId="183" fontId="0" fillId="0" borderId="0" xfId="0" applyNumberFormat="1" applyFill="1" applyAlignment="1">
      <alignment horizontal="right"/>
    </xf>
    <xf numFmtId="183" fontId="0" fillId="0" borderId="1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183" fontId="4" fillId="0" borderId="0" xfId="22" applyNumberFormat="1" applyFont="1" applyFill="1" applyBorder="1" applyAlignment="1">
      <alignment/>
    </xf>
    <xf numFmtId="4" fontId="0" fillId="0" borderId="1" xfId="22" applyNumberFormat="1" applyFont="1" applyFill="1" applyBorder="1" applyAlignment="1">
      <alignment horizontal="right"/>
    </xf>
    <xf numFmtId="4" fontId="0" fillId="0" borderId="1" xfId="22" applyNumberFormat="1" applyFont="1" applyFill="1" applyBorder="1" applyAlignment="1">
      <alignment/>
    </xf>
    <xf numFmtId="183" fontId="12" fillId="0" borderId="1" xfId="22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justify" vertical="justify" wrapText="1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justify" vertical="justify"/>
    </xf>
    <xf numFmtId="0" fontId="6" fillId="0" borderId="0" xfId="0" applyFont="1" applyAlignment="1">
      <alignment horizontal="justify" vertical="justify"/>
    </xf>
    <xf numFmtId="0" fontId="1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Millares [0]_1 er Informe jun-ago. 2001" xfId="19"/>
    <cellStyle name="Millares [0]_1er informe 2001" xfId="20"/>
    <cellStyle name="Millares [0]_Ingresos" xfId="21"/>
    <cellStyle name="Millares_1er informe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0</xdr:rowOff>
    </xdr:from>
    <xdr:to>
      <xdr:col>6</xdr:col>
      <xdr:colOff>161925</xdr:colOff>
      <xdr:row>41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010275"/>
          <a:ext cx="577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Nota: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Este anexo se analiza detalladamente en los anexos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VIII-1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VIII-5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zoomScaleSheetLayoutView="100" workbookViewId="0" topLeftCell="A15">
      <selection activeCell="A31" sqref="A31"/>
    </sheetView>
  </sheetViews>
  <sheetFormatPr defaultColWidth="9.140625" defaultRowHeight="12.75"/>
  <cols>
    <col min="1" max="1" width="11.57421875" style="2" customWidth="1"/>
    <col min="2" max="2" width="0.9921875" style="2" customWidth="1"/>
    <col min="3" max="3" width="39.8515625" style="2" customWidth="1"/>
    <col min="4" max="4" width="2.57421875" style="2" customWidth="1"/>
    <col min="5" max="5" width="16.28125" style="33" customWidth="1"/>
    <col min="6" max="6" width="2.140625" style="33" customWidth="1"/>
    <col min="7" max="7" width="16.8515625" style="33" bestFit="1" customWidth="1"/>
    <col min="8" max="8" width="15.57421875" style="2" customWidth="1"/>
    <col min="9" max="16384" width="11.421875" style="2" customWidth="1"/>
  </cols>
  <sheetData>
    <row r="2" spans="1:7" ht="15.75" customHeight="1">
      <c r="A2" s="258" t="s">
        <v>465</v>
      </c>
      <c r="B2" s="258"/>
      <c r="C2" s="258"/>
      <c r="D2" s="258"/>
      <c r="E2" s="258"/>
      <c r="F2" s="258"/>
      <c r="G2" s="258"/>
    </row>
    <row r="3" spans="1:7" ht="12.75" customHeight="1">
      <c r="A3" s="258" t="s">
        <v>466</v>
      </c>
      <c r="B3" s="258"/>
      <c r="C3" s="258"/>
      <c r="D3" s="258"/>
      <c r="E3" s="258"/>
      <c r="F3" s="258"/>
      <c r="G3" s="258"/>
    </row>
    <row r="4" spans="1:7" ht="12.75" customHeight="1">
      <c r="A4" s="259" t="s">
        <v>566</v>
      </c>
      <c r="B4" s="259"/>
      <c r="C4" s="259"/>
      <c r="D4" s="259"/>
      <c r="E4" s="259"/>
      <c r="F4" s="259"/>
      <c r="G4" s="259"/>
    </row>
    <row r="5" spans="1:7" ht="13.5" customHeight="1">
      <c r="A5" s="259" t="s">
        <v>567</v>
      </c>
      <c r="B5" s="259"/>
      <c r="C5" s="259"/>
      <c r="D5" s="259"/>
      <c r="E5" s="259"/>
      <c r="F5" s="259"/>
      <c r="G5" s="259"/>
    </row>
    <row r="6" spans="1:7" ht="12.75">
      <c r="A6" s="26"/>
      <c r="B6" s="26"/>
      <c r="C6" s="241"/>
      <c r="D6" s="241"/>
      <c r="E6" s="242"/>
      <c r="F6" s="242"/>
      <c r="G6" s="242"/>
    </row>
    <row r="7" spans="1:7" ht="12.75">
      <c r="A7" s="26"/>
      <c r="B7" s="26"/>
      <c r="C7" s="241"/>
      <c r="D7" s="241"/>
      <c r="E7" s="242"/>
      <c r="F7" s="242"/>
      <c r="G7" s="242"/>
    </row>
    <row r="8" spans="3:7" ht="15">
      <c r="C8" s="68"/>
      <c r="D8" s="68"/>
      <c r="E8" s="69"/>
      <c r="F8" s="204"/>
      <c r="G8" s="69"/>
    </row>
    <row r="9" spans="1:7" ht="15">
      <c r="A9" s="7" t="s">
        <v>379</v>
      </c>
      <c r="B9" s="7"/>
      <c r="C9" s="174"/>
      <c r="D9" s="175"/>
      <c r="E9" s="176"/>
      <c r="F9" s="205"/>
      <c r="G9" s="176"/>
    </row>
    <row r="10" spans="1:7" ht="15">
      <c r="A10" s="245" t="s">
        <v>378</v>
      </c>
      <c r="B10" s="3"/>
      <c r="C10" s="257" t="s">
        <v>0</v>
      </c>
      <c r="D10" s="257"/>
      <c r="E10" s="246"/>
      <c r="F10" s="70"/>
      <c r="G10" s="246" t="s">
        <v>1</v>
      </c>
    </row>
    <row r="11" spans="3:7" ht="15">
      <c r="C11" s="71"/>
      <c r="D11" s="71"/>
      <c r="F11" s="205"/>
      <c r="G11" s="176"/>
    </row>
    <row r="12" spans="3:8" s="26" customFormat="1" ht="14.25" customHeight="1">
      <c r="C12" s="170" t="s">
        <v>154</v>
      </c>
      <c r="D12" s="170"/>
      <c r="E12" s="73"/>
      <c r="F12" s="200" t="s">
        <v>541</v>
      </c>
      <c r="G12" s="214">
        <v>193785706.47</v>
      </c>
      <c r="H12" s="243"/>
    </row>
    <row r="13" spans="3:8" s="26" customFormat="1" ht="14.25" customHeight="1">
      <c r="C13" s="170"/>
      <c r="D13" s="170"/>
      <c r="E13" s="73"/>
      <c r="F13" s="200"/>
      <c r="G13" s="214"/>
      <c r="H13" s="243"/>
    </row>
    <row r="14" spans="3:8" s="26" customFormat="1" ht="14.25" customHeight="1">
      <c r="C14" s="170"/>
      <c r="D14" s="170"/>
      <c r="E14" s="73"/>
      <c r="F14" s="200"/>
      <c r="G14" s="214"/>
      <c r="H14" s="243"/>
    </row>
    <row r="15" spans="1:8" ht="15">
      <c r="A15" s="256" t="s">
        <v>568</v>
      </c>
      <c r="B15" s="248"/>
      <c r="C15" s="10"/>
      <c r="D15" s="10"/>
      <c r="E15" s="73"/>
      <c r="F15" s="200"/>
      <c r="G15" s="213"/>
      <c r="H15" s="26"/>
    </row>
    <row r="16" spans="3:8" ht="15">
      <c r="C16" s="254" t="s">
        <v>570</v>
      </c>
      <c r="E16" s="74"/>
      <c r="F16" s="178"/>
      <c r="G16" s="214">
        <v>518352413.89</v>
      </c>
      <c r="H16" s="26"/>
    </row>
    <row r="17" spans="3:8" ht="15">
      <c r="C17" s="10"/>
      <c r="D17" s="10"/>
      <c r="E17" s="72"/>
      <c r="F17" s="200"/>
      <c r="G17" s="215"/>
      <c r="H17" s="26"/>
    </row>
    <row r="18" spans="1:8" ht="15">
      <c r="A18" s="7" t="s">
        <v>380</v>
      </c>
      <c r="B18" s="7"/>
      <c r="C18" s="10" t="s">
        <v>2</v>
      </c>
      <c r="D18" s="247" t="s">
        <v>541</v>
      </c>
      <c r="E18" s="76">
        <f>Sub!F21</f>
        <v>482181053.69</v>
      </c>
      <c r="F18" s="206"/>
      <c r="G18" s="217"/>
      <c r="H18" s="77"/>
    </row>
    <row r="19" spans="1:8" ht="15">
      <c r="A19" s="7"/>
      <c r="B19" s="7"/>
      <c r="C19" s="16"/>
      <c r="D19" s="16"/>
      <c r="E19" s="75"/>
      <c r="F19" s="207"/>
      <c r="G19" s="217"/>
      <c r="H19" s="26"/>
    </row>
    <row r="20" spans="1:8" ht="15">
      <c r="A20" s="7"/>
      <c r="B20" s="7"/>
      <c r="C20" s="10"/>
      <c r="D20" s="10"/>
      <c r="E20" s="75"/>
      <c r="F20" s="207"/>
      <c r="G20" s="217"/>
      <c r="H20" s="26"/>
    </row>
    <row r="21" spans="1:8" ht="15">
      <c r="A21" s="7" t="s">
        <v>381</v>
      </c>
      <c r="B21" s="7"/>
      <c r="C21" s="10" t="s">
        <v>4</v>
      </c>
      <c r="D21" s="10"/>
      <c r="E21" s="75">
        <f>'Ing.Prop'!E47</f>
        <v>27227737.7</v>
      </c>
      <c r="F21" s="207"/>
      <c r="G21" s="217"/>
      <c r="H21" s="77"/>
    </row>
    <row r="22" spans="1:8" ht="15">
      <c r="A22" s="7"/>
      <c r="B22" s="7"/>
      <c r="C22" s="16"/>
      <c r="D22" s="16"/>
      <c r="E22" s="75"/>
      <c r="F22" s="207"/>
      <c r="G22" s="217"/>
      <c r="H22" s="26"/>
    </row>
    <row r="23" spans="1:8" ht="15">
      <c r="A23" s="7"/>
      <c r="B23" s="7"/>
      <c r="C23" s="10"/>
      <c r="D23" s="10"/>
      <c r="E23" s="75"/>
      <c r="F23" s="207"/>
      <c r="G23" s="217"/>
      <c r="H23" s="26"/>
    </row>
    <row r="24" spans="1:8" ht="15">
      <c r="A24" s="7" t="s">
        <v>382</v>
      </c>
      <c r="B24" s="7"/>
      <c r="C24" s="10" t="s">
        <v>6</v>
      </c>
      <c r="D24" s="10"/>
      <c r="E24" s="75">
        <f>'O.Ing.Prop'!E15</f>
        <v>1934771</v>
      </c>
      <c r="F24" s="207"/>
      <c r="G24" s="217"/>
      <c r="H24" s="77"/>
    </row>
    <row r="25" spans="1:8" ht="15">
      <c r="A25" s="7"/>
      <c r="B25" s="7"/>
      <c r="C25" s="16"/>
      <c r="D25" s="16"/>
      <c r="E25" s="75"/>
      <c r="F25" s="207"/>
      <c r="G25" s="217"/>
      <c r="H25" s="26"/>
    </row>
    <row r="26" spans="1:8" ht="15">
      <c r="A26" s="7"/>
      <c r="B26" s="7"/>
      <c r="C26" s="10"/>
      <c r="D26" s="10"/>
      <c r="F26" s="205"/>
      <c r="G26" s="217"/>
      <c r="H26" s="26"/>
    </row>
    <row r="27" spans="1:8" ht="15">
      <c r="A27" s="7" t="s">
        <v>383</v>
      </c>
      <c r="B27" s="7"/>
      <c r="C27" s="10" t="s">
        <v>9</v>
      </c>
      <c r="D27" s="10"/>
      <c r="E27" s="251">
        <f>'O.Ing'!F18</f>
        <v>7008851.5</v>
      </c>
      <c r="F27" s="207"/>
      <c r="G27" s="217"/>
      <c r="H27" s="77"/>
    </row>
    <row r="28" spans="3:8" ht="15">
      <c r="C28" s="16"/>
      <c r="D28" s="16"/>
      <c r="E28" s="72"/>
      <c r="F28" s="200"/>
      <c r="G28" s="217"/>
      <c r="H28" s="26"/>
    </row>
    <row r="29" spans="3:8" ht="15">
      <c r="C29" s="10"/>
      <c r="D29" s="10"/>
      <c r="E29" s="72"/>
      <c r="F29" s="200"/>
      <c r="G29" s="215"/>
      <c r="H29" s="26"/>
    </row>
    <row r="30" spans="1:8" ht="15">
      <c r="A30" s="26"/>
      <c r="B30" s="26"/>
      <c r="C30" s="71"/>
      <c r="D30" s="71"/>
      <c r="E30" s="78"/>
      <c r="F30" s="208"/>
      <c r="G30" s="218"/>
      <c r="H30" s="26"/>
    </row>
    <row r="31" spans="1:8" ht="15">
      <c r="A31" s="256" t="s">
        <v>569</v>
      </c>
      <c r="B31" s="248"/>
      <c r="C31" s="10"/>
      <c r="D31" s="10"/>
      <c r="E31" s="79"/>
      <c r="F31" s="208"/>
      <c r="G31" s="219"/>
      <c r="H31" s="26"/>
    </row>
    <row r="32" spans="3:8" ht="15">
      <c r="C32" s="254" t="s">
        <v>571</v>
      </c>
      <c r="D32" s="7"/>
      <c r="E32" s="79"/>
      <c r="F32" s="208"/>
      <c r="G32" s="249">
        <v>632738700.51</v>
      </c>
      <c r="H32" s="26"/>
    </row>
    <row r="33" spans="3:8" ht="15">
      <c r="C33" s="10"/>
      <c r="D33" s="10"/>
      <c r="E33" s="44"/>
      <c r="F33" s="209"/>
      <c r="G33" s="219"/>
      <c r="H33" s="26"/>
    </row>
    <row r="34" spans="1:8" ht="15">
      <c r="A34" s="7" t="s">
        <v>384</v>
      </c>
      <c r="B34" s="7"/>
      <c r="C34" s="10" t="s">
        <v>11</v>
      </c>
      <c r="D34" s="247" t="s">
        <v>541</v>
      </c>
      <c r="E34" s="80">
        <f>'Serv.Per'!E145</f>
        <v>493208431.27000004</v>
      </c>
      <c r="F34" s="210"/>
      <c r="G34" s="217"/>
      <c r="H34" s="81"/>
    </row>
    <row r="35" spans="1:8" ht="15">
      <c r="A35" s="7"/>
      <c r="B35" s="7"/>
      <c r="C35" s="16"/>
      <c r="D35" s="16"/>
      <c r="E35" s="82"/>
      <c r="F35" s="211"/>
      <c r="G35" s="217"/>
      <c r="H35" s="83"/>
    </row>
    <row r="36" spans="1:8" ht="15">
      <c r="A36" s="7"/>
      <c r="B36" s="7"/>
      <c r="C36" s="10"/>
      <c r="D36" s="10"/>
      <c r="E36" s="84"/>
      <c r="F36" s="212"/>
      <c r="G36" s="217"/>
      <c r="H36" s="26"/>
    </row>
    <row r="37" spans="1:8" ht="15">
      <c r="A37" s="7" t="s">
        <v>385</v>
      </c>
      <c r="B37" s="7"/>
      <c r="C37" s="10" t="s">
        <v>13</v>
      </c>
      <c r="D37" s="10"/>
      <c r="E37" s="85">
        <f>'Mat.Cons'!E18</f>
        <v>1250794.6400000001</v>
      </c>
      <c r="F37" s="179"/>
      <c r="G37" s="217"/>
      <c r="H37" s="81"/>
    </row>
    <row r="38" spans="1:8" ht="15">
      <c r="A38" s="7"/>
      <c r="B38" s="7"/>
      <c r="C38" s="16"/>
      <c r="D38" s="16"/>
      <c r="E38" s="86"/>
      <c r="F38" s="201"/>
      <c r="G38" s="217"/>
      <c r="H38" s="26"/>
    </row>
    <row r="39" spans="1:8" ht="15">
      <c r="A39" s="7"/>
      <c r="B39" s="7"/>
      <c r="C39" s="10"/>
      <c r="D39" s="10"/>
      <c r="E39" s="86"/>
      <c r="F39" s="201"/>
      <c r="G39" s="217"/>
      <c r="H39" s="26"/>
    </row>
    <row r="40" spans="1:8" ht="15">
      <c r="A40" s="7" t="s">
        <v>386</v>
      </c>
      <c r="B40" s="7"/>
      <c r="C40" s="10" t="s">
        <v>15</v>
      </c>
      <c r="D40" s="10"/>
      <c r="E40" s="87">
        <f>'Serv.Grals'!E43</f>
        <v>21342444.75</v>
      </c>
      <c r="F40" s="177"/>
      <c r="G40" s="217"/>
      <c r="H40" s="81"/>
    </row>
    <row r="41" spans="1:8" ht="15">
      <c r="A41" s="7"/>
      <c r="B41" s="7"/>
      <c r="C41" s="16"/>
      <c r="D41" s="16"/>
      <c r="E41" s="189"/>
      <c r="F41" s="202"/>
      <c r="G41" s="220"/>
      <c r="H41" s="83"/>
    </row>
    <row r="42" spans="1:7" ht="15">
      <c r="A42" s="7"/>
      <c r="B42" s="7"/>
      <c r="C42" s="11"/>
      <c r="D42" s="11"/>
      <c r="E42" s="88"/>
      <c r="F42" s="203"/>
      <c r="G42" s="221"/>
    </row>
    <row r="43" spans="1:8" ht="15">
      <c r="A43" s="7" t="s">
        <v>387</v>
      </c>
      <c r="B43" s="7"/>
      <c r="C43" s="10" t="s">
        <v>17</v>
      </c>
      <c r="D43" s="10"/>
      <c r="E43" s="250">
        <f>'Gto.Comp'!E17</f>
        <v>116937029.85</v>
      </c>
      <c r="F43" s="177"/>
      <c r="G43" s="252"/>
      <c r="H43" s="81"/>
    </row>
    <row r="44" spans="3:8" ht="15">
      <c r="C44" s="16"/>
      <c r="D44" s="16"/>
      <c r="E44" s="79"/>
      <c r="F44" s="208"/>
      <c r="G44" s="222"/>
      <c r="H44" s="26"/>
    </row>
    <row r="45" spans="3:8" ht="15">
      <c r="C45" s="11"/>
      <c r="D45" s="11"/>
      <c r="E45" s="79"/>
      <c r="F45" s="208"/>
      <c r="G45" s="222"/>
      <c r="H45" s="26"/>
    </row>
    <row r="46" spans="1:8" s="26" customFormat="1" ht="15.75" thickBot="1">
      <c r="A46" s="3" t="s">
        <v>388</v>
      </c>
      <c r="B46" s="3"/>
      <c r="C46" s="187" t="s">
        <v>153</v>
      </c>
      <c r="D46" s="188"/>
      <c r="E46" s="244"/>
      <c r="F46" s="209" t="s">
        <v>541</v>
      </c>
      <c r="G46" s="253">
        <v>79399419.85</v>
      </c>
      <c r="H46" s="67"/>
    </row>
    <row r="47" spans="3:8" ht="15.75" thickTop="1">
      <c r="C47" s="89"/>
      <c r="D47" s="89"/>
      <c r="E47" s="44"/>
      <c r="F47" s="209"/>
      <c r="G47" s="223"/>
      <c r="H47" s="90"/>
    </row>
    <row r="48" spans="4:8" ht="15">
      <c r="D48" s="91"/>
      <c r="F48" s="205"/>
      <c r="G48" s="224"/>
      <c r="H48" s="77"/>
    </row>
    <row r="49" spans="6:8" ht="15">
      <c r="F49" s="205"/>
      <c r="G49" s="82"/>
      <c r="H49" s="26"/>
    </row>
    <row r="50" spans="6:8" ht="15">
      <c r="F50" s="205"/>
      <c r="G50" s="82"/>
      <c r="H50" s="82"/>
    </row>
    <row r="51" spans="6:8" ht="15">
      <c r="F51" s="205"/>
      <c r="H51" s="92"/>
    </row>
    <row r="52" spans="6:8" ht="15">
      <c r="F52" s="205"/>
      <c r="H52" s="93"/>
    </row>
    <row r="53" spans="6:7" ht="15">
      <c r="F53" s="205"/>
      <c r="G53" s="84"/>
    </row>
    <row r="54" ht="15">
      <c r="F54" s="205"/>
    </row>
    <row r="55" ht="15">
      <c r="F55" s="205"/>
    </row>
    <row r="56" ht="15">
      <c r="F56" s="205"/>
    </row>
    <row r="57" ht="15">
      <c r="F57" s="205"/>
    </row>
    <row r="58" ht="15">
      <c r="F58" s="205"/>
    </row>
    <row r="59" ht="15">
      <c r="F59" s="205"/>
    </row>
    <row r="60" ht="15">
      <c r="F60" s="205"/>
    </row>
    <row r="61" ht="15">
      <c r="F61" s="205"/>
    </row>
    <row r="62" ht="15">
      <c r="F62" s="205"/>
    </row>
    <row r="63" ht="15">
      <c r="F63" s="205"/>
    </row>
  </sheetData>
  <mergeCells count="5">
    <mergeCell ref="C10:D10"/>
    <mergeCell ref="A2:G2"/>
    <mergeCell ref="A3:G3"/>
    <mergeCell ref="A4:G4"/>
    <mergeCell ref="A5:G5"/>
  </mergeCells>
  <printOptions/>
  <pageMargins left="0.984251968503937" right="0.5905511811023623" top="0.42" bottom="0.7874015748031497" header="0" footer="0"/>
  <pageSetup fitToHeight="1" fitToWidth="1" horizontalDpi="600" verticalDpi="600" orientation="portrait" scale="99" r:id="rId1"/>
  <headerFooter alignWithMargins="0"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5">
      <selection activeCell="E48" sqref="E48"/>
    </sheetView>
  </sheetViews>
  <sheetFormatPr defaultColWidth="9.140625" defaultRowHeight="12.75"/>
  <cols>
    <col min="1" max="1" width="35.00390625" style="2" customWidth="1"/>
    <col min="2" max="4" width="11.421875" style="33" customWidth="1"/>
    <col min="5" max="5" width="12.00390625" style="33" bestFit="1" customWidth="1"/>
    <col min="6" max="6" width="6.8515625" style="2" bestFit="1" customWidth="1"/>
    <col min="7" max="16384" width="11.421875" style="2" customWidth="1"/>
  </cols>
  <sheetData>
    <row r="1" spans="5:6" ht="13.5" thickBot="1">
      <c r="E1" s="275" t="s">
        <v>14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239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spans="2:5" ht="8.25" customHeight="1" thickBot="1">
      <c r="B6" s="2"/>
      <c r="C6" s="2"/>
      <c r="D6" s="2"/>
      <c r="E6" s="2"/>
    </row>
    <row r="7" spans="1:6" ht="12.75">
      <c r="A7" s="94"/>
      <c r="B7" s="94"/>
      <c r="C7" s="94"/>
      <c r="D7" s="94"/>
      <c r="E7" s="94"/>
      <c r="F7" s="95"/>
    </row>
    <row r="8" spans="1:6" ht="12.75">
      <c r="A8" s="96" t="s">
        <v>21</v>
      </c>
      <c r="B8" s="97" t="s">
        <v>478</v>
      </c>
      <c r="C8" s="97" t="s">
        <v>479</v>
      </c>
      <c r="D8" s="97" t="s">
        <v>499</v>
      </c>
      <c r="E8" s="96" t="s">
        <v>22</v>
      </c>
      <c r="F8" s="98" t="s">
        <v>23</v>
      </c>
    </row>
    <row r="9" spans="1:6" ht="13.5" thickBot="1">
      <c r="A9" s="99"/>
      <c r="B9" s="99"/>
      <c r="C9" s="99"/>
      <c r="D9" s="99"/>
      <c r="E9" s="99"/>
      <c r="F9" s="100"/>
    </row>
    <row r="10" ht="6" customHeight="1"/>
    <row r="11" spans="1:6" ht="12.75">
      <c r="A11" s="8" t="s">
        <v>80</v>
      </c>
      <c r="B11" s="46">
        <v>1693903</v>
      </c>
      <c r="C11" s="46">
        <v>1825454</v>
      </c>
      <c r="D11" s="46">
        <v>1876921</v>
      </c>
      <c r="E11" s="46">
        <f aca="true" t="shared" si="0" ref="E11:E41">SUM(B11:D11)</f>
        <v>5396278</v>
      </c>
      <c r="F11" s="59">
        <f aca="true" t="shared" si="1" ref="F11:F41">(E11/$E$43)*100</f>
        <v>25.2842542792573</v>
      </c>
    </row>
    <row r="12" spans="1:6" ht="12.75">
      <c r="A12" s="8" t="s">
        <v>81</v>
      </c>
      <c r="B12" s="46">
        <v>586874.5</v>
      </c>
      <c r="C12" s="46">
        <v>4309623.61</v>
      </c>
      <c r="D12" s="46">
        <v>461472.07</v>
      </c>
      <c r="E12" s="46">
        <f t="shared" si="0"/>
        <v>5357970.180000001</v>
      </c>
      <c r="F12" s="59">
        <f t="shared" si="1"/>
        <v>25.104763033297772</v>
      </c>
    </row>
    <row r="13" spans="1:6" ht="12.75">
      <c r="A13" s="8" t="s">
        <v>82</v>
      </c>
      <c r="B13" s="46">
        <v>850487.66</v>
      </c>
      <c r="C13" s="46">
        <v>630484.49</v>
      </c>
      <c r="D13" s="46">
        <v>833930.59</v>
      </c>
      <c r="E13" s="46">
        <f t="shared" si="0"/>
        <v>2314902.7399999998</v>
      </c>
      <c r="F13" s="59">
        <f t="shared" si="1"/>
        <v>10.846474090087547</v>
      </c>
    </row>
    <row r="14" spans="1:6" ht="12.75">
      <c r="A14" s="8" t="s">
        <v>164</v>
      </c>
      <c r="B14" s="46">
        <v>77925</v>
      </c>
      <c r="C14" s="46">
        <v>76377</v>
      </c>
      <c r="D14" s="46">
        <v>74011.85</v>
      </c>
      <c r="E14" s="46">
        <f t="shared" si="0"/>
        <v>228313.85</v>
      </c>
      <c r="F14" s="59">
        <f t="shared" si="1"/>
        <v>1.069764278059101</v>
      </c>
    </row>
    <row r="15" spans="1:6" ht="12.75">
      <c r="A15" s="8" t="s">
        <v>83</v>
      </c>
      <c r="B15" s="46">
        <v>68839.76</v>
      </c>
      <c r="C15" s="46">
        <v>36889.88</v>
      </c>
      <c r="D15" s="46">
        <v>12730</v>
      </c>
      <c r="E15" s="46">
        <f t="shared" si="0"/>
        <v>118459.63999999998</v>
      </c>
      <c r="F15" s="59">
        <f t="shared" si="1"/>
        <v>0.5550425051469325</v>
      </c>
    </row>
    <row r="16" spans="1:6" ht="12.75">
      <c r="A16" s="8" t="s">
        <v>172</v>
      </c>
      <c r="B16" s="46">
        <v>-9200</v>
      </c>
      <c r="C16" s="46"/>
      <c r="D16" s="46"/>
      <c r="E16" s="46">
        <f t="shared" si="0"/>
        <v>-9200</v>
      </c>
      <c r="F16" s="59">
        <f t="shared" si="1"/>
        <v>-0.04310658927675097</v>
      </c>
    </row>
    <row r="17" spans="1:6" ht="12.75">
      <c r="A17" s="8" t="s">
        <v>349</v>
      </c>
      <c r="B17" s="46">
        <v>109604.53</v>
      </c>
      <c r="C17" s="46">
        <v>190858.08</v>
      </c>
      <c r="D17" s="46">
        <f>275231.38-2140.9</f>
        <v>273090.48</v>
      </c>
      <c r="E17" s="46">
        <f t="shared" si="0"/>
        <v>573553.09</v>
      </c>
      <c r="F17" s="59">
        <f t="shared" si="1"/>
        <v>2.687382334678411</v>
      </c>
    </row>
    <row r="18" spans="1:6" ht="12.75">
      <c r="A18" s="8" t="s">
        <v>350</v>
      </c>
      <c r="B18" s="46">
        <v>21150</v>
      </c>
      <c r="C18" s="46">
        <v>21700</v>
      </c>
      <c r="D18" s="46">
        <v>18650</v>
      </c>
      <c r="E18" s="46">
        <f t="shared" si="0"/>
        <v>61500</v>
      </c>
      <c r="F18" s="59">
        <f t="shared" si="1"/>
        <v>0.28815817831741136</v>
      </c>
    </row>
    <row r="19" spans="1:6" ht="12.75">
      <c r="A19" s="8" t="s">
        <v>84</v>
      </c>
      <c r="B19" s="46">
        <v>1380</v>
      </c>
      <c r="C19" s="46"/>
      <c r="D19" s="46"/>
      <c r="E19" s="46">
        <f t="shared" si="0"/>
        <v>1380</v>
      </c>
      <c r="F19" s="59">
        <f t="shared" si="1"/>
        <v>0.006465988391512646</v>
      </c>
    </row>
    <row r="20" spans="1:6" ht="12.75">
      <c r="A20" s="8" t="s">
        <v>515</v>
      </c>
      <c r="B20" s="46"/>
      <c r="C20" s="46">
        <v>20279.96</v>
      </c>
      <c r="D20" s="46"/>
      <c r="E20" s="46">
        <f t="shared" si="0"/>
        <v>20279.96</v>
      </c>
      <c r="F20" s="59">
        <f t="shared" si="1"/>
        <v>0.09502172894227592</v>
      </c>
    </row>
    <row r="21" spans="1:6" ht="12.75">
      <c r="A21" s="8" t="s">
        <v>85</v>
      </c>
      <c r="B21" s="46">
        <v>16192.75</v>
      </c>
      <c r="C21" s="46"/>
      <c r="D21" s="46">
        <v>1635</v>
      </c>
      <c r="E21" s="46">
        <f t="shared" si="0"/>
        <v>17827.75</v>
      </c>
      <c r="F21" s="59">
        <f t="shared" si="1"/>
        <v>0.08353190184549968</v>
      </c>
    </row>
    <row r="22" spans="1:6" ht="12.75">
      <c r="A22" s="8" t="s">
        <v>460</v>
      </c>
      <c r="B22" s="46">
        <v>759</v>
      </c>
      <c r="C22" s="46"/>
      <c r="D22" s="46"/>
      <c r="E22" s="46">
        <f t="shared" si="0"/>
        <v>759</v>
      </c>
      <c r="F22" s="59">
        <f t="shared" si="1"/>
        <v>0.0035562936153319545</v>
      </c>
    </row>
    <row r="23" spans="1:6" ht="12.75">
      <c r="A23" s="8" t="s">
        <v>507</v>
      </c>
      <c r="B23" s="46">
        <v>998.61</v>
      </c>
      <c r="C23" s="46">
        <v>24690.5</v>
      </c>
      <c r="D23" s="46"/>
      <c r="E23" s="46">
        <f t="shared" si="0"/>
        <v>25689.11</v>
      </c>
      <c r="F23" s="59">
        <f t="shared" si="1"/>
        <v>0.12036629496253001</v>
      </c>
    </row>
    <row r="24" spans="1:6" ht="12.75">
      <c r="A24" s="8" t="s">
        <v>86</v>
      </c>
      <c r="B24" s="46">
        <v>22206.5</v>
      </c>
      <c r="C24" s="46"/>
      <c r="D24" s="46"/>
      <c r="E24" s="46">
        <f t="shared" si="0"/>
        <v>22206.5</v>
      </c>
      <c r="F24" s="59">
        <f t="shared" si="1"/>
        <v>0.10404852986675764</v>
      </c>
    </row>
    <row r="25" spans="1:6" ht="12.75">
      <c r="A25" s="8" t="s">
        <v>447</v>
      </c>
      <c r="B25" s="46">
        <v>105340</v>
      </c>
      <c r="C25" s="46">
        <v>34500</v>
      </c>
      <c r="D25" s="46">
        <v>34500</v>
      </c>
      <c r="E25" s="46">
        <f t="shared" si="0"/>
        <v>174340</v>
      </c>
      <c r="F25" s="59">
        <f t="shared" si="1"/>
        <v>0.8168698667944307</v>
      </c>
    </row>
    <row r="26" spans="1:6" ht="12.75">
      <c r="A26" s="8" t="s">
        <v>501</v>
      </c>
      <c r="B26" s="46">
        <v>46000</v>
      </c>
      <c r="C26" s="46">
        <v>23000</v>
      </c>
      <c r="D26" s="46">
        <v>64500</v>
      </c>
      <c r="E26" s="46">
        <f t="shared" si="0"/>
        <v>133500</v>
      </c>
      <c r="F26" s="59">
        <f t="shared" si="1"/>
        <v>0.625514094396332</v>
      </c>
    </row>
    <row r="27" spans="1:6" ht="12.75">
      <c r="A27" s="8" t="s">
        <v>87</v>
      </c>
      <c r="B27" s="46">
        <v>955016.94</v>
      </c>
      <c r="C27" s="46">
        <v>1100267.08</v>
      </c>
      <c r="D27" s="46">
        <v>437019.94</v>
      </c>
      <c r="E27" s="46">
        <f t="shared" si="0"/>
        <v>2492303.96</v>
      </c>
      <c r="F27" s="59">
        <f t="shared" si="1"/>
        <v>11.67768729962391</v>
      </c>
    </row>
    <row r="28" spans="1:6" ht="12.75">
      <c r="A28" s="8" t="s">
        <v>88</v>
      </c>
      <c r="B28" s="46">
        <v>205663.96</v>
      </c>
      <c r="C28" s="46">
        <v>386979.99</v>
      </c>
      <c r="D28" s="46">
        <v>128038.96</v>
      </c>
      <c r="E28" s="46">
        <f t="shared" si="0"/>
        <v>720682.9099999999</v>
      </c>
      <c r="F28" s="59">
        <f t="shared" si="1"/>
        <v>3.376758934798226</v>
      </c>
    </row>
    <row r="29" spans="1:6" ht="12.75">
      <c r="A29" s="8" t="s">
        <v>157</v>
      </c>
      <c r="B29" s="46">
        <v>3082</v>
      </c>
      <c r="C29" s="46">
        <v>18482.15</v>
      </c>
      <c r="D29" s="46"/>
      <c r="E29" s="46">
        <f t="shared" si="0"/>
        <v>21564.15</v>
      </c>
      <c r="F29" s="59">
        <f t="shared" si="1"/>
        <v>0.1010387996904619</v>
      </c>
    </row>
    <row r="30" spans="1:6" ht="12.75">
      <c r="A30" s="8" t="s">
        <v>502</v>
      </c>
      <c r="B30" s="46">
        <v>65184.07</v>
      </c>
      <c r="C30" s="46"/>
      <c r="D30" s="46"/>
      <c r="E30" s="46">
        <f t="shared" si="0"/>
        <v>65184.07</v>
      </c>
      <c r="F30" s="59">
        <f t="shared" si="1"/>
        <v>0.3054198840083679</v>
      </c>
    </row>
    <row r="31" spans="1:6" ht="12.75">
      <c r="A31" s="8" t="s">
        <v>184</v>
      </c>
      <c r="B31" s="46">
        <v>142743.16</v>
      </c>
      <c r="C31" s="46">
        <v>38680</v>
      </c>
      <c r="D31" s="46">
        <v>4600</v>
      </c>
      <c r="E31" s="46">
        <f t="shared" si="0"/>
        <v>186023.16</v>
      </c>
      <c r="F31" s="59">
        <f t="shared" si="1"/>
        <v>0.8716112993568836</v>
      </c>
    </row>
    <row r="32" spans="1:6" ht="12.75">
      <c r="A32" s="8" t="s">
        <v>508</v>
      </c>
      <c r="B32" s="46">
        <v>300</v>
      </c>
      <c r="D32" s="46"/>
      <c r="E32" s="46">
        <f t="shared" si="0"/>
        <v>300</v>
      </c>
      <c r="F32" s="59">
        <f t="shared" si="1"/>
        <v>0.0014056496503288358</v>
      </c>
    </row>
    <row r="33" spans="1:6" ht="12.75">
      <c r="A33" s="8" t="s">
        <v>89</v>
      </c>
      <c r="B33" s="46">
        <v>-2618</v>
      </c>
      <c r="C33" s="46">
        <v>1380</v>
      </c>
      <c r="D33" s="46">
        <v>2960</v>
      </c>
      <c r="E33" s="46">
        <f t="shared" si="0"/>
        <v>1722</v>
      </c>
      <c r="F33" s="59">
        <f t="shared" si="1"/>
        <v>0.008068428992887518</v>
      </c>
    </row>
    <row r="34" spans="1:7" ht="12.75">
      <c r="A34" s="8" t="s">
        <v>419</v>
      </c>
      <c r="B34" s="46">
        <v>99178.82</v>
      </c>
      <c r="C34" s="46">
        <v>814528.62</v>
      </c>
      <c r="D34" s="46">
        <v>812141.5</v>
      </c>
      <c r="E34" s="46">
        <f t="shared" si="0"/>
        <v>1725848.94</v>
      </c>
      <c r="F34" s="59">
        <f t="shared" si="1"/>
        <v>8.086463196771307</v>
      </c>
      <c r="G34" s="141"/>
    </row>
    <row r="35" spans="1:6" ht="12.75">
      <c r="A35" s="8" t="s">
        <v>90</v>
      </c>
      <c r="B35" s="46">
        <v>231004.5</v>
      </c>
      <c r="C35" s="46">
        <v>110945.5</v>
      </c>
      <c r="D35" s="46"/>
      <c r="E35" s="46">
        <f t="shared" si="0"/>
        <v>341950</v>
      </c>
      <c r="F35" s="59">
        <f t="shared" si="1"/>
        <v>1.6022063264331514</v>
      </c>
    </row>
    <row r="36" spans="1:6" ht="12.75">
      <c r="A36" s="8" t="s">
        <v>403</v>
      </c>
      <c r="B36" s="46">
        <v>4203</v>
      </c>
      <c r="C36" s="46">
        <v>502</v>
      </c>
      <c r="D36" s="46">
        <v>1130</v>
      </c>
      <c r="E36" s="46">
        <f t="shared" si="0"/>
        <v>5835</v>
      </c>
      <c r="F36" s="59">
        <f t="shared" si="1"/>
        <v>0.02733988569889586</v>
      </c>
    </row>
    <row r="37" spans="1:6" ht="12.75">
      <c r="A37" s="8" t="s">
        <v>367</v>
      </c>
      <c r="B37" s="46">
        <v>186000</v>
      </c>
      <c r="C37" s="46">
        <v>157313</v>
      </c>
      <c r="D37" s="46">
        <v>107850</v>
      </c>
      <c r="E37" s="46">
        <f t="shared" si="0"/>
        <v>451163</v>
      </c>
      <c r="F37" s="59">
        <f t="shared" si="1"/>
        <v>2.1139237106376956</v>
      </c>
    </row>
    <row r="38" spans="1:6" ht="12.75">
      <c r="A38" s="8" t="s">
        <v>91</v>
      </c>
      <c r="B38" s="46">
        <v>226930</v>
      </c>
      <c r="C38" s="46">
        <v>638590.75</v>
      </c>
      <c r="D38" s="46">
        <v>54414</v>
      </c>
      <c r="E38" s="46">
        <f t="shared" si="0"/>
        <v>919934.75</v>
      </c>
      <c r="F38" s="59">
        <f t="shared" si="1"/>
        <v>4.31035319887615</v>
      </c>
    </row>
    <row r="39" spans="1:6" ht="12.75">
      <c r="A39" s="8" t="s">
        <v>404</v>
      </c>
      <c r="B39" s="46">
        <v>-40448.26</v>
      </c>
      <c r="C39" s="46"/>
      <c r="D39" s="46"/>
      <c r="E39" s="46">
        <f t="shared" si="0"/>
        <v>-40448.26</v>
      </c>
      <c r="F39" s="59">
        <f t="shared" si="1"/>
        <v>-0.18952027508469949</v>
      </c>
    </row>
    <row r="40" spans="1:6" ht="12.75">
      <c r="A40" s="8" t="s">
        <v>303</v>
      </c>
      <c r="B40" s="46"/>
      <c r="C40" s="46">
        <v>10621.25</v>
      </c>
      <c r="D40" s="46"/>
      <c r="E40" s="46">
        <f t="shared" si="0"/>
        <v>10621.25</v>
      </c>
      <c r="F40" s="59">
        <f t="shared" si="1"/>
        <v>0.04976585449518383</v>
      </c>
    </row>
    <row r="41" spans="1:6" ht="12.75">
      <c r="A41" s="8" t="s">
        <v>516</v>
      </c>
      <c r="B41" s="46"/>
      <c r="C41" s="46">
        <v>2000</v>
      </c>
      <c r="D41" s="46"/>
      <c r="E41" s="46">
        <f t="shared" si="0"/>
        <v>2000</v>
      </c>
      <c r="F41" s="59">
        <f t="shared" si="1"/>
        <v>0.009370997668858906</v>
      </c>
    </row>
    <row r="42" spans="1:6" ht="12.75">
      <c r="A42" s="8"/>
      <c r="B42" s="46"/>
      <c r="C42" s="46"/>
      <c r="D42" s="46"/>
      <c r="E42" s="46"/>
      <c r="F42" s="59"/>
    </row>
    <row r="43" spans="1:6" ht="13.5" thickBot="1">
      <c r="A43" s="3" t="s">
        <v>140</v>
      </c>
      <c r="B43" s="138">
        <f>SUM(B11:B41)</f>
        <v>5668701.500000001</v>
      </c>
      <c r="C43" s="138">
        <f>SUM(C11:C41)</f>
        <v>10474147.86</v>
      </c>
      <c r="D43" s="138">
        <f>SUM(D11:D41)</f>
        <v>5199595.39</v>
      </c>
      <c r="E43" s="138">
        <f>SUM(E11:E41)</f>
        <v>21342444.75</v>
      </c>
      <c r="F43" s="142">
        <f>SUM(F11:F41)</f>
        <v>99.99999999999999</v>
      </c>
    </row>
    <row r="44" spans="1:6" ht="13.5" thickTop="1">
      <c r="A44" s="26"/>
      <c r="B44" s="44"/>
      <c r="C44" s="44"/>
      <c r="D44" s="44"/>
      <c r="E44" s="44"/>
      <c r="F44" s="143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984251968503937" bottom="0.7874015748031497" header="0" footer="0"/>
  <pageSetup horizontalDpi="600" verticalDpi="600" orientation="portrait" r:id="rId1"/>
  <headerFooter alignWithMargins="0"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6">
      <selection activeCell="E17" sqref="E17"/>
    </sheetView>
  </sheetViews>
  <sheetFormatPr defaultColWidth="9.140625" defaultRowHeight="12.75"/>
  <cols>
    <col min="1" max="1" width="33.7109375" style="2" customWidth="1"/>
    <col min="2" max="4" width="10.8515625" style="33" bestFit="1" customWidth="1"/>
    <col min="5" max="5" width="11.7109375" style="33" bestFit="1" customWidth="1"/>
    <col min="6" max="6" width="6.8515625" style="2" bestFit="1" customWidth="1"/>
    <col min="7" max="7" width="3.57421875" style="2" customWidth="1"/>
    <col min="8" max="16384" width="11.421875" style="2" customWidth="1"/>
  </cols>
  <sheetData>
    <row r="1" spans="5:6" ht="13.5" thickBot="1">
      <c r="E1" s="275" t="s">
        <v>16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247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spans="2:5" ht="8.25" customHeight="1" thickBot="1">
      <c r="B6" s="2"/>
      <c r="C6" s="2"/>
      <c r="D6" s="2"/>
      <c r="E6" s="2"/>
    </row>
    <row r="7" spans="1:6" ht="12.75">
      <c r="A7" s="94"/>
      <c r="B7" s="94"/>
      <c r="C7" s="94"/>
      <c r="D7" s="94"/>
      <c r="E7" s="94"/>
      <c r="F7" s="95"/>
    </row>
    <row r="8" spans="1:6" ht="12.75">
      <c r="A8" s="96" t="s">
        <v>21</v>
      </c>
      <c r="B8" s="97" t="s">
        <v>478</v>
      </c>
      <c r="C8" s="97" t="s">
        <v>479</v>
      </c>
      <c r="D8" s="97" t="s">
        <v>499</v>
      </c>
      <c r="E8" s="96" t="s">
        <v>22</v>
      </c>
      <c r="F8" s="98" t="s">
        <v>23</v>
      </c>
    </row>
    <row r="9" spans="1:6" ht="13.5" thickBot="1">
      <c r="A9" s="99"/>
      <c r="B9" s="99"/>
      <c r="C9" s="99"/>
      <c r="D9" s="99"/>
      <c r="E9" s="99"/>
      <c r="F9" s="100"/>
    </row>
    <row r="10" ht="6" customHeight="1"/>
    <row r="11" spans="1:7" ht="12.75">
      <c r="A11" s="8" t="s">
        <v>254</v>
      </c>
      <c r="B11" s="46">
        <f>'G.C.Op'!B168</f>
        <v>22320657.7</v>
      </c>
      <c r="C11" s="46">
        <f>'G.C.Op'!C168</f>
        <v>18789545.44</v>
      </c>
      <c r="D11" s="46">
        <f>'G.C.Op'!D168</f>
        <v>14968261.27</v>
      </c>
      <c r="E11" s="46">
        <f>SUM(B11:D11)</f>
        <v>56078464.41</v>
      </c>
      <c r="F11" s="59">
        <f>(E11/$E$17)*100</f>
        <v>47.95612175367733</v>
      </c>
      <c r="G11" s="144"/>
    </row>
    <row r="12" spans="1:7" ht="12.75">
      <c r="A12" s="8" t="s">
        <v>173</v>
      </c>
      <c r="B12" s="46">
        <f>'G.C.Viat'!B73</f>
        <v>264856.49</v>
      </c>
      <c r="C12" s="46">
        <f>'G.C.Viat'!C73</f>
        <v>217295.18</v>
      </c>
      <c r="D12" s="46">
        <f>'G.C.Viat'!D73</f>
        <v>91984.61000000002</v>
      </c>
      <c r="E12" s="46">
        <f>SUM(B12:D12)</f>
        <v>574136.28</v>
      </c>
      <c r="F12" s="59">
        <f>(E12/$E$17)*100</f>
        <v>0.4909790172851735</v>
      </c>
      <c r="G12" s="144"/>
    </row>
    <row r="13" spans="1:7" ht="12.75">
      <c r="A13" s="8" t="s">
        <v>92</v>
      </c>
      <c r="B13" s="46">
        <f>'G.C.Ing.Prop'!B137</f>
        <v>8391135.400000002</v>
      </c>
      <c r="C13" s="46">
        <f>'G.C.Ing.Prop'!C137</f>
        <v>10646054.99</v>
      </c>
      <c r="D13" s="46">
        <f>'G.C.Ing.Prop'!D137</f>
        <v>3853967.4699999997</v>
      </c>
      <c r="E13" s="46">
        <f>SUM(B13:D13)</f>
        <v>22891157.86</v>
      </c>
      <c r="F13" s="59">
        <f>(E13/$E$17)*100</f>
        <v>19.575627916463624</v>
      </c>
      <c r="G13" s="144"/>
    </row>
    <row r="14" spans="1:7" ht="12.75">
      <c r="A14" s="8" t="s">
        <v>174</v>
      </c>
      <c r="B14" s="46">
        <f>'G.C.Donat'!B25</f>
        <v>1159495</v>
      </c>
      <c r="C14" s="46">
        <f>'G.C.Donat'!C25</f>
        <v>611208</v>
      </c>
      <c r="D14" s="46">
        <f>'G.C.Donat'!D25</f>
        <v>203742</v>
      </c>
      <c r="E14" s="46">
        <f>SUM(B14:D14)</f>
        <v>1974445</v>
      </c>
      <c r="F14" s="59">
        <f>(E14/$E$17)*100</f>
        <v>1.6884685736696947</v>
      </c>
      <c r="G14" s="144"/>
    </row>
    <row r="15" spans="1:7" ht="12.75">
      <c r="A15" s="8" t="s">
        <v>255</v>
      </c>
      <c r="B15" s="46">
        <f>'G.C.Etiq'!B18</f>
        <v>7878347.720000001</v>
      </c>
      <c r="C15" s="46">
        <f>'G.C.Etiq'!C18</f>
        <v>18591355.2</v>
      </c>
      <c r="D15" s="46">
        <f>'G.C.Etiq'!D18</f>
        <v>8949123.379999999</v>
      </c>
      <c r="E15" s="46">
        <f>SUM(B15:D15)</f>
        <v>35418826.3</v>
      </c>
      <c r="F15" s="59">
        <f>(E15/$E$17)*100</f>
        <v>30.28880273890418</v>
      </c>
      <c r="G15" s="144"/>
    </row>
    <row r="16" spans="1:7" ht="12.75">
      <c r="A16" s="8"/>
      <c r="B16" s="46"/>
      <c r="C16" s="46"/>
      <c r="D16" s="46"/>
      <c r="E16" s="46"/>
      <c r="F16" s="59"/>
      <c r="G16" s="144"/>
    </row>
    <row r="17" spans="1:7" ht="13.5" thickBot="1">
      <c r="A17" s="3" t="s">
        <v>140</v>
      </c>
      <c r="B17" s="138">
        <f>SUM(B11:B15)</f>
        <v>40014492.31</v>
      </c>
      <c r="C17" s="138">
        <f>SUM(C11:C15)</f>
        <v>48855458.81</v>
      </c>
      <c r="D17" s="138">
        <f>SUM(D11:D15)</f>
        <v>28067078.729999997</v>
      </c>
      <c r="E17" s="138">
        <f>SUM(E11:E15)</f>
        <v>116937029.85</v>
      </c>
      <c r="F17" s="142">
        <f>SUM(F11:F15)</f>
        <v>100</v>
      </c>
      <c r="G17" s="144" t="s">
        <v>25</v>
      </c>
    </row>
    <row r="18" spans="1:7" ht="13.5" thickTop="1">
      <c r="A18" s="26"/>
      <c r="B18" s="44"/>
      <c r="C18" s="44"/>
      <c r="D18" s="44"/>
      <c r="E18" s="44"/>
      <c r="F18" s="143"/>
      <c r="G18" s="143"/>
    </row>
    <row r="33" ht="12.75">
      <c r="A33" s="11"/>
    </row>
    <row r="37" ht="12.75">
      <c r="A37" s="145"/>
    </row>
    <row r="51" ht="12.75">
      <c r="A51" s="11"/>
    </row>
    <row r="52" spans="1:7" ht="12.75">
      <c r="A52" s="281"/>
      <c r="B52" s="282"/>
      <c r="C52" s="282"/>
      <c r="D52" s="282"/>
      <c r="E52" s="282"/>
      <c r="F52" s="282"/>
      <c r="G52" s="282"/>
    </row>
  </sheetData>
  <mergeCells count="6">
    <mergeCell ref="A52:G52"/>
    <mergeCell ref="A5:F5"/>
    <mergeCell ref="E1:F1"/>
    <mergeCell ref="A2:F2"/>
    <mergeCell ref="A3:F3"/>
    <mergeCell ref="A4:F4"/>
  </mergeCells>
  <printOptions/>
  <pageMargins left="0.984251968503937" right="0.5905511811023623" top="0.984251968503937" bottom="0.984251968503937" header="0" footer="0"/>
  <pageSetup horizontalDpi="600" verticalDpi="600" orientation="portrait" r:id="rId2"/>
  <headerFooter alignWithMargins="0">
    <oddFooter>&amp;CPágina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52">
      <selection activeCell="B56" sqref="B56"/>
    </sheetView>
  </sheetViews>
  <sheetFormatPr defaultColWidth="9.140625" defaultRowHeight="12.75"/>
  <cols>
    <col min="1" max="1" width="42.57421875" style="2" customWidth="1"/>
    <col min="2" max="5" width="10.8515625" style="33" bestFit="1" customWidth="1"/>
    <col min="6" max="6" width="5.7109375" style="2" bestFit="1" customWidth="1"/>
    <col min="7" max="7" width="2.7109375" style="2" customWidth="1"/>
    <col min="8" max="16384" width="11.421875" style="2" customWidth="1"/>
  </cols>
  <sheetData>
    <row r="1" spans="5:6" ht="13.5" thickBot="1">
      <c r="E1" s="275" t="s">
        <v>166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227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spans="2:5" ht="8.25" customHeight="1" thickBot="1">
      <c r="B6" s="2"/>
      <c r="C6" s="2"/>
      <c r="D6" s="2"/>
      <c r="E6" s="2"/>
    </row>
    <row r="7" spans="1:6" ht="12.75">
      <c r="A7" s="94"/>
      <c r="B7" s="94"/>
      <c r="C7" s="94"/>
      <c r="D7" s="94"/>
      <c r="E7" s="94"/>
      <c r="F7" s="95"/>
    </row>
    <row r="8" spans="1:6" ht="12.75">
      <c r="A8" s="96" t="s">
        <v>21</v>
      </c>
      <c r="B8" s="97" t="s">
        <v>478</v>
      </c>
      <c r="C8" s="97" t="s">
        <v>479</v>
      </c>
      <c r="D8" s="97" t="s">
        <v>499</v>
      </c>
      <c r="E8" s="96" t="s">
        <v>22</v>
      </c>
      <c r="F8" s="98" t="s">
        <v>23</v>
      </c>
    </row>
    <row r="9" spans="1:6" ht="13.5" thickBot="1">
      <c r="A9" s="99"/>
      <c r="B9" s="99"/>
      <c r="C9" s="99"/>
      <c r="D9" s="99"/>
      <c r="E9" s="99"/>
      <c r="F9" s="100"/>
    </row>
    <row r="10" ht="6" customHeight="1"/>
    <row r="11" spans="1:6" ht="12" customHeight="1">
      <c r="A11" s="2" t="s">
        <v>93</v>
      </c>
      <c r="B11" s="35">
        <v>160967.7</v>
      </c>
      <c r="C11" s="35">
        <v>125723.34</v>
      </c>
      <c r="D11" s="48">
        <v>132569.8</v>
      </c>
      <c r="E11" s="35">
        <f aca="true" t="shared" si="0" ref="E11:E42">SUM(B11:D11)</f>
        <v>419260.84</v>
      </c>
      <c r="F11" s="54">
        <f aca="true" t="shared" si="1" ref="F11:F43">(E11/$E$168*100)</f>
        <v>0.7476325259812869</v>
      </c>
    </row>
    <row r="12" spans="1:6" ht="12" customHeight="1">
      <c r="A12" s="2" t="s">
        <v>175</v>
      </c>
      <c r="B12" s="48">
        <v>330000</v>
      </c>
      <c r="C12" s="48">
        <v>500000</v>
      </c>
      <c r="D12" s="48">
        <v>200000</v>
      </c>
      <c r="E12" s="35">
        <f t="shared" si="0"/>
        <v>1030000</v>
      </c>
      <c r="F12" s="54">
        <f t="shared" si="1"/>
        <v>1.8367122046521813</v>
      </c>
    </row>
    <row r="13" spans="1:6" ht="12" customHeight="1">
      <c r="A13" s="2" t="s">
        <v>256</v>
      </c>
      <c r="B13" s="48">
        <f>16110-7245-5000</f>
        <v>3865</v>
      </c>
      <c r="C13" s="48">
        <v>23000</v>
      </c>
      <c r="D13" s="48">
        <v>11000</v>
      </c>
      <c r="E13" s="35">
        <f t="shared" si="0"/>
        <v>37865</v>
      </c>
      <c r="F13" s="54">
        <f t="shared" si="1"/>
        <v>0.06752146371762607</v>
      </c>
    </row>
    <row r="14" spans="1:6" ht="12" customHeight="1">
      <c r="A14" s="2" t="s">
        <v>420</v>
      </c>
      <c r="B14" s="48">
        <v>164040</v>
      </c>
      <c r="C14" s="48">
        <v>60000</v>
      </c>
      <c r="D14" s="48">
        <v>143000</v>
      </c>
      <c r="E14" s="35">
        <f t="shared" si="0"/>
        <v>367040</v>
      </c>
      <c r="F14" s="54">
        <f t="shared" si="1"/>
        <v>0.6545115025199385</v>
      </c>
    </row>
    <row r="15" spans="1:6" ht="12" customHeight="1">
      <c r="A15" s="2" t="s">
        <v>248</v>
      </c>
      <c r="B15" s="48">
        <v>37250</v>
      </c>
      <c r="C15" s="48">
        <v>68496.4</v>
      </c>
      <c r="D15" s="48">
        <v>21181</v>
      </c>
      <c r="E15" s="35">
        <f t="shared" si="0"/>
        <v>126927.4</v>
      </c>
      <c r="F15" s="54">
        <f t="shared" si="1"/>
        <v>0.22633893658715465</v>
      </c>
    </row>
    <row r="16" spans="1:6" ht="12" customHeight="1">
      <c r="A16" s="2" t="s">
        <v>94</v>
      </c>
      <c r="B16" s="48">
        <f>16518-26490.25</f>
        <v>-9972.25</v>
      </c>
      <c r="C16" s="48">
        <v>36593.68</v>
      </c>
      <c r="D16" s="46">
        <v>33989</v>
      </c>
      <c r="E16" s="35">
        <f t="shared" si="0"/>
        <v>60610.43</v>
      </c>
      <c r="F16" s="54">
        <f t="shared" si="1"/>
        <v>0.10808147234001624</v>
      </c>
    </row>
    <row r="17" spans="1:6" ht="12" customHeight="1">
      <c r="A17" s="2" t="s">
        <v>421</v>
      </c>
      <c r="B17" s="48"/>
      <c r="C17" s="48"/>
      <c r="D17" s="46">
        <v>22000</v>
      </c>
      <c r="E17" s="35">
        <f t="shared" si="0"/>
        <v>22000</v>
      </c>
      <c r="F17" s="54">
        <f t="shared" si="1"/>
        <v>0.03923074611878446</v>
      </c>
    </row>
    <row r="18" spans="1:6" ht="12" customHeight="1">
      <c r="A18" s="2" t="s">
        <v>95</v>
      </c>
      <c r="B18" s="48">
        <v>18533</v>
      </c>
      <c r="C18" s="48">
        <f>12000+65945</f>
        <v>77945</v>
      </c>
      <c r="D18" s="48">
        <f>12000-65945</f>
        <v>-53945</v>
      </c>
      <c r="E18" s="35">
        <f t="shared" si="0"/>
        <v>42533</v>
      </c>
      <c r="F18" s="54">
        <f t="shared" si="1"/>
        <v>0.07584551475773907</v>
      </c>
    </row>
    <row r="19" spans="1:6" ht="12" customHeight="1">
      <c r="A19" s="9" t="s">
        <v>20</v>
      </c>
      <c r="B19" s="48">
        <v>30000</v>
      </c>
      <c r="C19" s="48">
        <v>32000</v>
      </c>
      <c r="D19" s="48">
        <v>62970</v>
      </c>
      <c r="E19" s="35">
        <f t="shared" si="0"/>
        <v>124970</v>
      </c>
      <c r="F19" s="54">
        <f t="shared" si="1"/>
        <v>0.22284847011202247</v>
      </c>
    </row>
    <row r="20" spans="1:6" ht="12" customHeight="1">
      <c r="A20" s="9" t="s">
        <v>329</v>
      </c>
      <c r="B20" s="48">
        <v>9503.18</v>
      </c>
      <c r="C20" s="48">
        <f>2000</f>
        <v>2000</v>
      </c>
      <c r="D20" s="48">
        <f>7146-2000</f>
        <v>5146</v>
      </c>
      <c r="E20" s="35">
        <f t="shared" si="0"/>
        <v>16649.18</v>
      </c>
      <c r="F20" s="54">
        <f t="shared" si="1"/>
        <v>0.029689079712088357</v>
      </c>
    </row>
    <row r="21" spans="1:6" ht="12" customHeight="1">
      <c r="A21" s="9" t="s">
        <v>96</v>
      </c>
      <c r="B21" s="48"/>
      <c r="C21" s="48"/>
      <c r="D21" s="48">
        <v>6000</v>
      </c>
      <c r="E21" s="35">
        <f t="shared" si="0"/>
        <v>6000</v>
      </c>
      <c r="F21" s="54">
        <f t="shared" si="1"/>
        <v>0.010699294396032125</v>
      </c>
    </row>
    <row r="22" spans="1:6" ht="12" customHeight="1">
      <c r="A22" s="9" t="s">
        <v>97</v>
      </c>
      <c r="B22" s="48">
        <v>14000</v>
      </c>
      <c r="C22" s="48">
        <v>12750</v>
      </c>
      <c r="D22" s="48">
        <v>10000</v>
      </c>
      <c r="E22" s="35">
        <f t="shared" si="0"/>
        <v>36750</v>
      </c>
      <c r="F22" s="54">
        <f t="shared" si="1"/>
        <v>0.06553317817569676</v>
      </c>
    </row>
    <row r="23" spans="1:6" ht="12" customHeight="1">
      <c r="A23" s="9" t="s">
        <v>98</v>
      </c>
      <c r="B23" s="48">
        <f>4000-8990</f>
        <v>-4990</v>
      </c>
      <c r="C23" s="48">
        <v>2000</v>
      </c>
      <c r="D23" s="48">
        <v>2000</v>
      </c>
      <c r="E23" s="35">
        <f t="shared" si="0"/>
        <v>-990</v>
      </c>
      <c r="F23" s="54">
        <f t="shared" si="1"/>
        <v>-0.0017653835753453008</v>
      </c>
    </row>
    <row r="24" spans="1:6" ht="12" customHeight="1">
      <c r="A24" s="9" t="s">
        <v>304</v>
      </c>
      <c r="B24" s="48">
        <v>109383</v>
      </c>
      <c r="C24" s="48">
        <v>37500</v>
      </c>
      <c r="D24" s="48">
        <v>37500</v>
      </c>
      <c r="E24" s="35">
        <f t="shared" si="0"/>
        <v>184383</v>
      </c>
      <c r="F24" s="54">
        <f t="shared" si="1"/>
        <v>0.32879466643726524</v>
      </c>
    </row>
    <row r="25" spans="1:6" ht="12" customHeight="1">
      <c r="A25" s="9" t="s">
        <v>257</v>
      </c>
      <c r="B25" s="48">
        <v>8000</v>
      </c>
      <c r="C25" s="48">
        <v>20000</v>
      </c>
      <c r="D25" s="48">
        <v>20000</v>
      </c>
      <c r="E25" s="35">
        <f t="shared" si="0"/>
        <v>48000</v>
      </c>
      <c r="F25" s="54">
        <f t="shared" si="1"/>
        <v>0.085594355168257</v>
      </c>
    </row>
    <row r="26" spans="1:6" ht="12" customHeight="1">
      <c r="A26" s="9" t="s">
        <v>423</v>
      </c>
      <c r="B26" s="48">
        <v>12000</v>
      </c>
      <c r="C26" s="48"/>
      <c r="D26" s="48"/>
      <c r="E26" s="35">
        <f t="shared" si="0"/>
        <v>12000</v>
      </c>
      <c r="F26" s="54">
        <f t="shared" si="1"/>
        <v>0.02139858879206425</v>
      </c>
    </row>
    <row r="27" spans="1:6" ht="12" customHeight="1">
      <c r="A27" s="9" t="s">
        <v>202</v>
      </c>
      <c r="B27" s="48">
        <v>71400</v>
      </c>
      <c r="C27" s="48">
        <v>116250</v>
      </c>
      <c r="D27" s="48">
        <v>14740</v>
      </c>
      <c r="E27" s="35">
        <f t="shared" si="0"/>
        <v>202390</v>
      </c>
      <c r="F27" s="54">
        <f t="shared" si="1"/>
        <v>0.3609050321354903</v>
      </c>
    </row>
    <row r="28" spans="1:6" ht="12" customHeight="1">
      <c r="A28" s="9" t="s">
        <v>99</v>
      </c>
      <c r="B28" s="48">
        <v>46430</v>
      </c>
      <c r="C28" s="48">
        <v>54715</v>
      </c>
      <c r="D28" s="48">
        <v>95700</v>
      </c>
      <c r="E28" s="35">
        <f t="shared" si="0"/>
        <v>196845</v>
      </c>
      <c r="F28" s="54">
        <f t="shared" si="1"/>
        <v>0.35101710089782395</v>
      </c>
    </row>
    <row r="29" spans="1:6" ht="12" customHeight="1">
      <c r="A29" s="9" t="s">
        <v>100</v>
      </c>
      <c r="B29" s="48">
        <v>30195</v>
      </c>
      <c r="C29" s="48">
        <v>39684.62</v>
      </c>
      <c r="D29" s="48">
        <v>39466</v>
      </c>
      <c r="E29" s="35">
        <f t="shared" si="0"/>
        <v>109345.62</v>
      </c>
      <c r="F29" s="54">
        <f t="shared" si="1"/>
        <v>0.19498682988277635</v>
      </c>
    </row>
    <row r="30" spans="1:6" ht="12" customHeight="1">
      <c r="A30" s="2" t="s">
        <v>424</v>
      </c>
      <c r="B30" s="48">
        <v>15000</v>
      </c>
      <c r="C30" s="48">
        <v>15000</v>
      </c>
      <c r="D30" s="48"/>
      <c r="E30" s="35">
        <f t="shared" si="0"/>
        <v>30000</v>
      </c>
      <c r="F30" s="54">
        <f t="shared" si="1"/>
        <v>0.05349647198016062</v>
      </c>
    </row>
    <row r="31" spans="1:7" ht="12" customHeight="1">
      <c r="A31" s="2" t="s">
        <v>223</v>
      </c>
      <c r="B31" s="48">
        <v>322399.43</v>
      </c>
      <c r="C31" s="48">
        <v>440900</v>
      </c>
      <c r="D31" s="48">
        <v>39250.99</v>
      </c>
      <c r="E31" s="35">
        <f t="shared" si="0"/>
        <v>802550.4199999999</v>
      </c>
      <c r="F31" s="54">
        <f t="shared" si="1"/>
        <v>1.431120535206538</v>
      </c>
      <c r="G31" s="11"/>
    </row>
    <row r="32" spans="1:6" ht="12" customHeight="1">
      <c r="A32" s="2" t="s">
        <v>259</v>
      </c>
      <c r="B32" s="48">
        <v>64000</v>
      </c>
      <c r="C32" s="48">
        <v>26000</v>
      </c>
      <c r="D32" s="48">
        <v>6000</v>
      </c>
      <c r="E32" s="35">
        <f t="shared" si="0"/>
        <v>96000</v>
      </c>
      <c r="F32" s="54">
        <f t="shared" si="1"/>
        <v>0.171188710336514</v>
      </c>
    </row>
    <row r="33" spans="1:6" ht="12" customHeight="1">
      <c r="A33" s="2" t="s">
        <v>260</v>
      </c>
      <c r="B33" s="48">
        <v>1435381.9</v>
      </c>
      <c r="C33" s="48">
        <v>41120.5</v>
      </c>
      <c r="D33" s="48">
        <v>70642</v>
      </c>
      <c r="E33" s="35">
        <f t="shared" si="0"/>
        <v>1547144.4</v>
      </c>
      <c r="F33" s="54">
        <f t="shared" si="1"/>
        <v>2.758892234795414</v>
      </c>
    </row>
    <row r="34" spans="1:6" ht="12" customHeight="1">
      <c r="A34" s="2" t="s">
        <v>115</v>
      </c>
      <c r="B34" s="48">
        <v>29525.5</v>
      </c>
      <c r="C34" s="48">
        <v>29409.8</v>
      </c>
      <c r="D34" s="48">
        <v>25043.6</v>
      </c>
      <c r="E34" s="35">
        <f t="shared" si="0"/>
        <v>83978.9</v>
      </c>
      <c r="F34" s="54">
        <f t="shared" si="1"/>
        <v>0.14975249569249036</v>
      </c>
    </row>
    <row r="35" spans="1:6" ht="12" customHeight="1">
      <c r="A35" s="2" t="s">
        <v>250</v>
      </c>
      <c r="B35" s="46">
        <f>2260-2260</f>
        <v>0</v>
      </c>
      <c r="C35" s="46">
        <v>2260</v>
      </c>
      <c r="D35" s="48">
        <v>1355</v>
      </c>
      <c r="E35" s="35">
        <f t="shared" si="0"/>
        <v>3615</v>
      </c>
      <c r="F35" s="54">
        <f t="shared" si="1"/>
        <v>0.006446324873609356</v>
      </c>
    </row>
    <row r="36" spans="1:6" ht="12" customHeight="1">
      <c r="A36" s="2" t="s">
        <v>537</v>
      </c>
      <c r="B36" s="46"/>
      <c r="C36" s="46">
        <v>5000</v>
      </c>
      <c r="D36" s="48"/>
      <c r="E36" s="35">
        <f>SUM(B36:D36)</f>
        <v>5000</v>
      </c>
      <c r="F36" s="54">
        <f t="shared" si="1"/>
        <v>0.008916078663360104</v>
      </c>
    </row>
    <row r="37" spans="1:6" ht="12" customHeight="1">
      <c r="A37" s="2" t="s">
        <v>296</v>
      </c>
      <c r="B37" s="46">
        <v>5000</v>
      </c>
      <c r="C37" s="46">
        <v>5000</v>
      </c>
      <c r="D37" s="48">
        <v>5000</v>
      </c>
      <c r="E37" s="35">
        <f t="shared" si="0"/>
        <v>15000</v>
      </c>
      <c r="F37" s="54">
        <f t="shared" si="1"/>
        <v>0.02674823599008031</v>
      </c>
    </row>
    <row r="38" spans="1:6" ht="12" customHeight="1">
      <c r="A38" s="2" t="s">
        <v>258</v>
      </c>
      <c r="B38" s="48">
        <v>14166</v>
      </c>
      <c r="C38" s="48">
        <v>8332</v>
      </c>
      <c r="D38" s="46">
        <v>50565</v>
      </c>
      <c r="E38" s="35">
        <f t="shared" si="0"/>
        <v>73063</v>
      </c>
      <c r="F38" s="54">
        <f t="shared" si="1"/>
        <v>0.13028709107621586</v>
      </c>
    </row>
    <row r="39" spans="1:6" ht="12" customHeight="1">
      <c r="A39" s="2" t="s">
        <v>261</v>
      </c>
      <c r="B39" s="48">
        <v>92250</v>
      </c>
      <c r="C39" s="48">
        <v>36000</v>
      </c>
      <c r="D39" s="48">
        <v>6000</v>
      </c>
      <c r="E39" s="35">
        <f t="shared" si="0"/>
        <v>134250</v>
      </c>
      <c r="F39" s="54">
        <f t="shared" si="1"/>
        <v>0.2393967121112188</v>
      </c>
    </row>
    <row r="40" spans="1:6" ht="12" customHeight="1">
      <c r="A40" s="2" t="s">
        <v>458</v>
      </c>
      <c r="B40" s="48">
        <v>17000</v>
      </c>
      <c r="C40" s="48">
        <v>7000</v>
      </c>
      <c r="D40" s="48">
        <v>7000</v>
      </c>
      <c r="E40" s="35">
        <f t="shared" si="0"/>
        <v>31000</v>
      </c>
      <c r="F40" s="54">
        <f t="shared" si="1"/>
        <v>0.05527968771283265</v>
      </c>
    </row>
    <row r="41" spans="1:6" ht="12" customHeight="1">
      <c r="A41" s="2" t="s">
        <v>262</v>
      </c>
      <c r="B41" s="48">
        <f>2207062.94-8000-8000</f>
        <v>2191062.94</v>
      </c>
      <c r="C41" s="48">
        <v>822853.64</v>
      </c>
      <c r="D41" s="48">
        <v>721670.74</v>
      </c>
      <c r="E41" s="35">
        <f t="shared" si="0"/>
        <v>3735587.3200000003</v>
      </c>
      <c r="F41" s="54">
        <f t="shared" si="1"/>
        <v>6.661358079794111</v>
      </c>
    </row>
    <row r="42" spans="1:6" ht="12" customHeight="1">
      <c r="A42" s="2" t="s">
        <v>263</v>
      </c>
      <c r="B42" s="48">
        <v>3503200</v>
      </c>
      <c r="C42" s="48">
        <v>8771982</v>
      </c>
      <c r="D42" s="48">
        <f>983224.47-14538.58</f>
        <v>968685.89</v>
      </c>
      <c r="E42" s="35">
        <f t="shared" si="0"/>
        <v>13243867.89</v>
      </c>
      <c r="F42" s="54">
        <f t="shared" si="1"/>
        <v>23.6166735828778</v>
      </c>
    </row>
    <row r="43" spans="1:6" ht="12" customHeight="1">
      <c r="A43" s="2" t="s">
        <v>187</v>
      </c>
      <c r="B43" s="48">
        <v>10000</v>
      </c>
      <c r="C43" s="48">
        <v>4000</v>
      </c>
      <c r="D43" s="48">
        <v>4400</v>
      </c>
      <c r="E43" s="35">
        <f aca="true" t="shared" si="2" ref="E43:E76">SUM(B43:D43)</f>
        <v>18400</v>
      </c>
      <c r="F43" s="54">
        <f t="shared" si="1"/>
        <v>0.03281116948116518</v>
      </c>
    </row>
    <row r="44" spans="1:6" ht="12" customHeight="1">
      <c r="A44" s="2" t="s">
        <v>264</v>
      </c>
      <c r="B44" s="48">
        <f>9028202.74-41920</f>
        <v>8986282.74</v>
      </c>
      <c r="C44" s="48">
        <v>3638180.66</v>
      </c>
      <c r="D44" s="48">
        <v>10272958.77</v>
      </c>
      <c r="E44" s="35">
        <f t="shared" si="2"/>
        <v>22897422.17</v>
      </c>
      <c r="F44" s="54">
        <f aca="true" t="shared" si="3" ref="F44:F54">(E44/$E$168*100)</f>
        <v>40.83104345117712</v>
      </c>
    </row>
    <row r="45" spans="1:6" ht="12" customHeight="1">
      <c r="A45" s="2" t="s">
        <v>203</v>
      </c>
      <c r="B45" s="48">
        <v>5000</v>
      </c>
      <c r="C45" s="48">
        <v>5000</v>
      </c>
      <c r="D45" s="48">
        <v>5000</v>
      </c>
      <c r="E45" s="35">
        <f t="shared" si="2"/>
        <v>15000</v>
      </c>
      <c r="F45" s="54">
        <f t="shared" si="3"/>
        <v>0.02674823599008031</v>
      </c>
    </row>
    <row r="46" spans="1:6" ht="12" customHeight="1">
      <c r="A46" s="2" t="s">
        <v>204</v>
      </c>
      <c r="B46" s="48">
        <v>11225</v>
      </c>
      <c r="C46" s="48">
        <v>24330.45</v>
      </c>
      <c r="D46" s="45">
        <v>7000</v>
      </c>
      <c r="E46" s="35">
        <f t="shared" si="2"/>
        <v>42555.45</v>
      </c>
      <c r="F46" s="54">
        <f t="shared" si="3"/>
        <v>0.07588554795093755</v>
      </c>
    </row>
    <row r="47" spans="1:6" ht="12" customHeight="1">
      <c r="A47" s="2" t="s">
        <v>430</v>
      </c>
      <c r="B47" s="48">
        <v>5000</v>
      </c>
      <c r="C47" s="48">
        <v>5000</v>
      </c>
      <c r="D47" s="45">
        <v>5000</v>
      </c>
      <c r="E47" s="35">
        <f t="shared" si="2"/>
        <v>15000</v>
      </c>
      <c r="F47" s="54">
        <f t="shared" si="3"/>
        <v>0.02674823599008031</v>
      </c>
    </row>
    <row r="48" spans="1:6" ht="12" customHeight="1">
      <c r="A48" s="2" t="s">
        <v>330</v>
      </c>
      <c r="B48" s="48">
        <v>64000</v>
      </c>
      <c r="C48" s="48"/>
      <c r="D48" s="45">
        <v>32000</v>
      </c>
      <c r="E48" s="35">
        <f>SUM(B48:D48)</f>
        <v>96000</v>
      </c>
      <c r="F48" s="54">
        <f t="shared" si="3"/>
        <v>0.171188710336514</v>
      </c>
    </row>
    <row r="49" spans="1:6" ht="12" customHeight="1">
      <c r="A49" s="2" t="s">
        <v>101</v>
      </c>
      <c r="B49" s="48">
        <v>313314</v>
      </c>
      <c r="C49" s="48">
        <v>232394.25</v>
      </c>
      <c r="D49" s="48">
        <v>104221</v>
      </c>
      <c r="E49" s="35">
        <f t="shared" si="2"/>
        <v>649929.25</v>
      </c>
      <c r="F49" s="54">
        <f t="shared" si="3"/>
        <v>1.158964063723727</v>
      </c>
    </row>
    <row r="50" spans="1:6" ht="12" customHeight="1">
      <c r="A50" s="2" t="s">
        <v>405</v>
      </c>
      <c r="B50" s="48">
        <f>-38885</f>
        <v>-38885</v>
      </c>
      <c r="C50" s="48"/>
      <c r="D50" s="48"/>
      <c r="E50" s="35">
        <f t="shared" si="2"/>
        <v>-38885</v>
      </c>
      <c r="F50" s="54">
        <f t="shared" si="3"/>
        <v>-0.06934034376495153</v>
      </c>
    </row>
    <row r="51" spans="1:6" ht="12" customHeight="1">
      <c r="A51" s="2" t="s">
        <v>205</v>
      </c>
      <c r="B51" s="48">
        <v>15800</v>
      </c>
      <c r="C51" s="48">
        <v>60000</v>
      </c>
      <c r="D51" s="48">
        <v>5000</v>
      </c>
      <c r="E51" s="35">
        <f t="shared" si="2"/>
        <v>80800</v>
      </c>
      <c r="F51" s="54">
        <f t="shared" si="3"/>
        <v>0.1440838311998993</v>
      </c>
    </row>
    <row r="52" spans="1:6" ht="12" customHeight="1">
      <c r="A52" s="2" t="s">
        <v>206</v>
      </c>
      <c r="B52" s="48">
        <v>74400</v>
      </c>
      <c r="C52" s="48">
        <v>10000</v>
      </c>
      <c r="D52" s="48">
        <v>10000</v>
      </c>
      <c r="E52" s="35">
        <f t="shared" si="2"/>
        <v>94400</v>
      </c>
      <c r="F52" s="54">
        <f t="shared" si="3"/>
        <v>0.16833556516423878</v>
      </c>
    </row>
    <row r="53" spans="1:6" ht="12" customHeight="1">
      <c r="A53" s="2" t="s">
        <v>207</v>
      </c>
      <c r="B53" s="48">
        <v>24326.62</v>
      </c>
      <c r="C53" s="48">
        <v>10000</v>
      </c>
      <c r="D53" s="48">
        <v>8250</v>
      </c>
      <c r="E53" s="35">
        <f t="shared" si="2"/>
        <v>42576.619999999995</v>
      </c>
      <c r="F53" s="54">
        <f t="shared" si="3"/>
        <v>0.07592329862799821</v>
      </c>
    </row>
    <row r="54" spans="1:6" ht="12" customHeight="1">
      <c r="A54" s="2" t="s">
        <v>208</v>
      </c>
      <c r="B54" s="48">
        <v>12000</v>
      </c>
      <c r="C54" s="48">
        <v>15500</v>
      </c>
      <c r="D54" s="48">
        <v>12000</v>
      </c>
      <c r="E54" s="35">
        <f t="shared" si="2"/>
        <v>39500</v>
      </c>
      <c r="F54" s="54">
        <f t="shared" si="3"/>
        <v>0.07043702144054483</v>
      </c>
    </row>
    <row r="55" spans="2:6" ht="9" customHeight="1">
      <c r="B55" s="48"/>
      <c r="C55" s="48"/>
      <c r="D55" s="48"/>
      <c r="E55" s="35"/>
      <c r="F55" s="146"/>
    </row>
    <row r="56" spans="1:6" ht="12" customHeight="1">
      <c r="A56" s="7" t="s">
        <v>328</v>
      </c>
      <c r="B56" s="147">
        <f>SUM(B11:B54)</f>
        <v>18202053.76</v>
      </c>
      <c r="C56" s="147">
        <f>SUM(C11:C54)</f>
        <v>15423921.34</v>
      </c>
      <c r="D56" s="147">
        <f>SUM(D11:D54)</f>
        <v>13170359.79</v>
      </c>
      <c r="E56" s="147">
        <f>SUM(E11:E54)</f>
        <v>46796334.89000001</v>
      </c>
      <c r="F56" s="147">
        <f>SUM(F11:F54)</f>
        <v>83.4479606072366</v>
      </c>
    </row>
    <row r="57" spans="5:6" ht="12" customHeight="1" thickBot="1">
      <c r="E57" s="275" t="s">
        <v>166</v>
      </c>
      <c r="F57" s="275"/>
    </row>
    <row r="58" spans="1:6" ht="12" customHeight="1">
      <c r="A58" s="261" t="s">
        <v>19</v>
      </c>
      <c r="B58" s="262"/>
      <c r="C58" s="262"/>
      <c r="D58" s="262"/>
      <c r="E58" s="262"/>
      <c r="F58" s="263"/>
    </row>
    <row r="59" spans="1:6" ht="12" customHeight="1">
      <c r="A59" s="264" t="s">
        <v>20</v>
      </c>
      <c r="B59" s="265"/>
      <c r="C59" s="265"/>
      <c r="D59" s="265"/>
      <c r="E59" s="265"/>
      <c r="F59" s="266"/>
    </row>
    <row r="60" spans="1:6" ht="12" customHeight="1">
      <c r="A60" s="267" t="s">
        <v>227</v>
      </c>
      <c r="B60" s="268"/>
      <c r="C60" s="268"/>
      <c r="D60" s="268"/>
      <c r="E60" s="268"/>
      <c r="F60" s="269"/>
    </row>
    <row r="61" spans="1:6" ht="12" customHeight="1" thickBot="1">
      <c r="A61" s="270" t="s">
        <v>500</v>
      </c>
      <c r="B61" s="271"/>
      <c r="C61" s="271"/>
      <c r="D61" s="271"/>
      <c r="E61" s="271"/>
      <c r="F61" s="272"/>
    </row>
    <row r="62" spans="2:5" ht="6.75" customHeight="1" thickBot="1">
      <c r="B62" s="2"/>
      <c r="C62" s="2"/>
      <c r="D62" s="2"/>
      <c r="E62" s="2"/>
    </row>
    <row r="63" spans="1:6" ht="12" customHeight="1">
      <c r="A63" s="94"/>
      <c r="B63" s="94"/>
      <c r="C63" s="94"/>
      <c r="D63" s="94"/>
      <c r="E63" s="94"/>
      <c r="F63" s="95"/>
    </row>
    <row r="64" spans="1:6" ht="12" customHeight="1">
      <c r="A64" s="96" t="s">
        <v>21</v>
      </c>
      <c r="B64" s="97" t="s">
        <v>478</v>
      </c>
      <c r="C64" s="97" t="s">
        <v>479</v>
      </c>
      <c r="D64" s="97" t="s">
        <v>499</v>
      </c>
      <c r="E64" s="96" t="s">
        <v>22</v>
      </c>
      <c r="F64" s="98" t="s">
        <v>23</v>
      </c>
    </row>
    <row r="65" spans="1:6" ht="12" customHeight="1" thickBot="1">
      <c r="A65" s="99"/>
      <c r="B65" s="99"/>
      <c r="C65" s="99"/>
      <c r="D65" s="99"/>
      <c r="E65" s="99"/>
      <c r="F65" s="100"/>
    </row>
    <row r="66" spans="2:6" ht="7.5" customHeight="1">
      <c r="B66" s="48"/>
      <c r="C66" s="48"/>
      <c r="D66" s="48"/>
      <c r="E66" s="35"/>
      <c r="F66" s="146"/>
    </row>
    <row r="67" spans="1:6" ht="12" customHeight="1">
      <c r="A67" s="2" t="s">
        <v>288</v>
      </c>
      <c r="B67" s="48">
        <v>6000</v>
      </c>
      <c r="C67" s="48">
        <v>65420.8</v>
      </c>
      <c r="D67" s="48">
        <v>25400</v>
      </c>
      <c r="E67" s="35">
        <f t="shared" si="2"/>
        <v>96820.8</v>
      </c>
      <c r="F67" s="54">
        <f aca="true" t="shared" si="4" ref="F67:F77">(E67/$E$168*100)</f>
        <v>0.1726523738098912</v>
      </c>
    </row>
    <row r="68" spans="1:6" ht="12" customHeight="1">
      <c r="A68" s="2" t="s">
        <v>102</v>
      </c>
      <c r="B68" s="48">
        <v>7500</v>
      </c>
      <c r="C68" s="48">
        <v>16593</v>
      </c>
      <c r="D68" s="48">
        <v>7500</v>
      </c>
      <c r="E68" s="35">
        <f t="shared" si="2"/>
        <v>31593</v>
      </c>
      <c r="F68" s="54">
        <f t="shared" si="4"/>
        <v>0.056337134642307156</v>
      </c>
    </row>
    <row r="69" spans="1:6" ht="12" customHeight="1">
      <c r="A69" s="2" t="s">
        <v>161</v>
      </c>
      <c r="B69" s="48">
        <v>41766.54</v>
      </c>
      <c r="C69" s="48">
        <v>106092</v>
      </c>
      <c r="D69" s="48">
        <v>36151</v>
      </c>
      <c r="E69" s="35">
        <f t="shared" si="2"/>
        <v>184009.54</v>
      </c>
      <c r="F69" s="54">
        <f t="shared" si="4"/>
        <v>0.32812870668974153</v>
      </c>
    </row>
    <row r="70" spans="1:6" ht="12" customHeight="1">
      <c r="A70" s="2" t="s">
        <v>103</v>
      </c>
      <c r="B70" s="48">
        <v>107600</v>
      </c>
      <c r="C70" s="48">
        <f>69000+22500</f>
        <v>91500</v>
      </c>
      <c r="D70" s="48">
        <v>87200</v>
      </c>
      <c r="E70" s="35">
        <f t="shared" si="2"/>
        <v>286300</v>
      </c>
      <c r="F70" s="54">
        <f t="shared" si="4"/>
        <v>0.5105346642639995</v>
      </c>
    </row>
    <row r="71" spans="1:6" ht="12" customHeight="1">
      <c r="A71" s="2" t="s">
        <v>209</v>
      </c>
      <c r="B71" s="48">
        <v>189060</v>
      </c>
      <c r="C71" s="48">
        <v>187020</v>
      </c>
      <c r="D71" s="48">
        <v>183589.58</v>
      </c>
      <c r="E71" s="35">
        <f t="shared" si="2"/>
        <v>559669.58</v>
      </c>
      <c r="F71" s="54">
        <f t="shared" si="4"/>
        <v>0.9980116001539421</v>
      </c>
    </row>
    <row r="72" spans="1:6" ht="12" customHeight="1">
      <c r="A72" s="2" t="s">
        <v>185</v>
      </c>
      <c r="B72" s="48">
        <v>904561.5</v>
      </c>
      <c r="C72" s="48">
        <v>32736.63</v>
      </c>
      <c r="D72" s="48">
        <v>12547.2</v>
      </c>
      <c r="E72" s="35">
        <f t="shared" si="2"/>
        <v>949845.33</v>
      </c>
      <c r="F72" s="54">
        <f t="shared" si="4"/>
        <v>1.6937791360610472</v>
      </c>
    </row>
    <row r="73" spans="1:6" ht="12" customHeight="1">
      <c r="A73" s="2" t="s">
        <v>416</v>
      </c>
      <c r="B73" s="48">
        <v>19293.9</v>
      </c>
      <c r="C73" s="48">
        <v>10000</v>
      </c>
      <c r="D73" s="48">
        <v>10000</v>
      </c>
      <c r="E73" s="35">
        <f>SUM(B73:D73)</f>
        <v>39293.9</v>
      </c>
      <c r="F73" s="54">
        <f t="shared" si="4"/>
        <v>0.07006950067804112</v>
      </c>
    </row>
    <row r="74" spans="1:6" ht="12" customHeight="1">
      <c r="A74" s="2" t="s">
        <v>176</v>
      </c>
      <c r="B74" s="48">
        <v>45610.7</v>
      </c>
      <c r="C74" s="48">
        <v>5000</v>
      </c>
      <c r="D74" s="48">
        <v>10000</v>
      </c>
      <c r="E74" s="35">
        <f t="shared" si="2"/>
        <v>60610.7</v>
      </c>
      <c r="F74" s="54">
        <f t="shared" si="4"/>
        <v>0.10808195380826405</v>
      </c>
    </row>
    <row r="75" spans="1:6" ht="12" customHeight="1">
      <c r="A75" s="2" t="s">
        <v>331</v>
      </c>
      <c r="B75" s="48">
        <v>19910.56</v>
      </c>
      <c r="C75" s="48">
        <v>12000</v>
      </c>
      <c r="D75" s="48">
        <v>8985</v>
      </c>
      <c r="E75" s="35">
        <f t="shared" si="2"/>
        <v>40895.56</v>
      </c>
      <c r="F75" s="54">
        <f t="shared" si="4"/>
        <v>0.07292560598843259</v>
      </c>
    </row>
    <row r="76" spans="1:6" ht="12" customHeight="1">
      <c r="A76" s="2" t="s">
        <v>210</v>
      </c>
      <c r="B76" s="48">
        <v>814099</v>
      </c>
      <c r="C76" s="48">
        <v>654539.5</v>
      </c>
      <c r="D76" s="48">
        <v>240000</v>
      </c>
      <c r="E76" s="35">
        <f t="shared" si="2"/>
        <v>1708638.5</v>
      </c>
      <c r="F76" s="54">
        <f t="shared" si="4"/>
        <v>3.046871054649123</v>
      </c>
    </row>
    <row r="77" spans="1:6" ht="12" customHeight="1">
      <c r="A77" s="2" t="s">
        <v>294</v>
      </c>
      <c r="B77" s="48">
        <v>15000</v>
      </c>
      <c r="C77" s="48"/>
      <c r="D77" s="48"/>
      <c r="E77" s="35">
        <f aca="true" t="shared" si="5" ref="E77:E111">SUM(B77:D77)</f>
        <v>15000</v>
      </c>
      <c r="F77" s="54">
        <f t="shared" si="4"/>
        <v>0.02674823599008031</v>
      </c>
    </row>
    <row r="78" spans="1:6" ht="12" customHeight="1">
      <c r="A78" s="2" t="s">
        <v>211</v>
      </c>
      <c r="B78" s="48">
        <v>12360</v>
      </c>
      <c r="C78" s="48">
        <v>12360</v>
      </c>
      <c r="D78" s="48">
        <v>13196</v>
      </c>
      <c r="E78" s="35">
        <f t="shared" si="5"/>
        <v>37916</v>
      </c>
      <c r="F78" s="54">
        <f aca="true" t="shared" si="6" ref="F78:F111">(E78/$E$168*100)</f>
        <v>0.06761240771999234</v>
      </c>
    </row>
    <row r="79" spans="1:6" ht="12" customHeight="1">
      <c r="A79" s="2" t="s">
        <v>417</v>
      </c>
      <c r="B79" s="48">
        <v>3640</v>
      </c>
      <c r="C79" s="48">
        <v>7240</v>
      </c>
      <c r="D79" s="48"/>
      <c r="E79" s="35">
        <f t="shared" si="5"/>
        <v>10880</v>
      </c>
      <c r="F79" s="54">
        <f t="shared" si="6"/>
        <v>0.019401387171471586</v>
      </c>
    </row>
    <row r="80" spans="1:6" ht="12" customHeight="1">
      <c r="A80" s="2" t="s">
        <v>538</v>
      </c>
      <c r="B80" s="48">
        <v>4000</v>
      </c>
      <c r="C80" s="48">
        <v>8000</v>
      </c>
      <c r="D80" s="48">
        <v>2000</v>
      </c>
      <c r="E80" s="35">
        <f t="shared" si="5"/>
        <v>14000</v>
      </c>
      <c r="F80" s="54">
        <f t="shared" si="6"/>
        <v>0.02496502025740829</v>
      </c>
    </row>
    <row r="81" spans="1:6" ht="12" customHeight="1">
      <c r="A81" s="2" t="s">
        <v>536</v>
      </c>
      <c r="B81" s="48"/>
      <c r="C81" s="48"/>
      <c r="D81" s="48">
        <v>8000</v>
      </c>
      <c r="E81" s="35">
        <f t="shared" si="5"/>
        <v>8000</v>
      </c>
      <c r="F81" s="54">
        <f t="shared" si="6"/>
        <v>0.014265725861376167</v>
      </c>
    </row>
    <row r="82" spans="1:6" ht="12" customHeight="1">
      <c r="A82" s="2" t="s">
        <v>293</v>
      </c>
      <c r="B82" s="48">
        <f>322574-70000-13000</f>
        <v>239574</v>
      </c>
      <c r="C82" s="48">
        <v>225592.5</v>
      </c>
      <c r="D82" s="48">
        <v>143233</v>
      </c>
      <c r="E82" s="35">
        <f t="shared" si="5"/>
        <v>608399.5</v>
      </c>
      <c r="F82" s="54">
        <f t="shared" si="6"/>
        <v>1.0849075601497913</v>
      </c>
    </row>
    <row r="83" spans="1:6" ht="12" customHeight="1">
      <c r="A83" s="2" t="s">
        <v>431</v>
      </c>
      <c r="B83" s="48">
        <f>3100-3100</f>
        <v>0</v>
      </c>
      <c r="C83" s="48">
        <v>15000</v>
      </c>
      <c r="D83" s="48"/>
      <c r="E83" s="35">
        <f t="shared" si="5"/>
        <v>15000</v>
      </c>
      <c r="F83" s="54">
        <f t="shared" si="6"/>
        <v>0.02674823599008031</v>
      </c>
    </row>
    <row r="84" spans="1:6" ht="12" customHeight="1">
      <c r="A84" s="9" t="s">
        <v>492</v>
      </c>
      <c r="B84" s="48"/>
      <c r="C84" s="48">
        <v>2000</v>
      </c>
      <c r="D84" s="48"/>
      <c r="E84" s="35">
        <f t="shared" si="5"/>
        <v>2000</v>
      </c>
      <c r="F84" s="54">
        <f t="shared" si="6"/>
        <v>0.0035664314653440416</v>
      </c>
    </row>
    <row r="85" spans="1:6" ht="12" customHeight="1">
      <c r="A85" s="2" t="s">
        <v>194</v>
      </c>
      <c r="B85" s="48">
        <v>1087883.79</v>
      </c>
      <c r="C85" s="48">
        <v>1100936.6</v>
      </c>
      <c r="D85" s="48">
        <v>251565.5</v>
      </c>
      <c r="E85" s="35">
        <f t="shared" si="5"/>
        <v>2440385.89</v>
      </c>
      <c r="F85" s="54">
        <f t="shared" si="6"/>
        <v>4.351734512838812</v>
      </c>
    </row>
    <row r="86" spans="1:6" ht="12" customHeight="1">
      <c r="A86" s="9" t="s">
        <v>442</v>
      </c>
      <c r="B86" s="48">
        <v>43000</v>
      </c>
      <c r="C86" s="48">
        <v>15000</v>
      </c>
      <c r="D86" s="48"/>
      <c r="E86" s="35">
        <f t="shared" si="5"/>
        <v>58000</v>
      </c>
      <c r="F86" s="54">
        <f t="shared" si="6"/>
        <v>0.1034265124949772</v>
      </c>
    </row>
    <row r="87" spans="1:6" ht="12" customHeight="1">
      <c r="A87" s="2" t="s">
        <v>432</v>
      </c>
      <c r="B87" s="48">
        <v>15000</v>
      </c>
      <c r="C87" s="48">
        <v>15000</v>
      </c>
      <c r="D87" s="48"/>
      <c r="E87" s="35">
        <f t="shared" si="5"/>
        <v>30000</v>
      </c>
      <c r="F87" s="54">
        <f t="shared" si="6"/>
        <v>0.05349647198016062</v>
      </c>
    </row>
    <row r="88" spans="1:6" ht="12" customHeight="1">
      <c r="A88" s="2" t="s">
        <v>535</v>
      </c>
      <c r="B88" s="48"/>
      <c r="C88" s="48"/>
      <c r="D88" s="48">
        <v>100000</v>
      </c>
      <c r="E88" s="35">
        <f t="shared" si="5"/>
        <v>100000</v>
      </c>
      <c r="F88" s="54">
        <f t="shared" si="6"/>
        <v>0.17832157326720208</v>
      </c>
    </row>
    <row r="89" spans="1:6" ht="12" customHeight="1">
      <c r="A89" s="2" t="s">
        <v>486</v>
      </c>
      <c r="B89" s="48">
        <v>3000</v>
      </c>
      <c r="C89" s="48"/>
      <c r="D89" s="48">
        <v>4695.6</v>
      </c>
      <c r="E89" s="35">
        <f t="shared" si="5"/>
        <v>7695.6</v>
      </c>
      <c r="F89" s="54">
        <f t="shared" si="6"/>
        <v>0.013722914992350803</v>
      </c>
    </row>
    <row r="90" spans="1:6" ht="12" customHeight="1">
      <c r="A90" s="2" t="s">
        <v>433</v>
      </c>
      <c r="B90" s="48">
        <v>5000</v>
      </c>
      <c r="C90" s="48"/>
      <c r="D90" s="48"/>
      <c r="E90" s="35">
        <f t="shared" si="5"/>
        <v>5000</v>
      </c>
      <c r="F90" s="54">
        <f t="shared" si="6"/>
        <v>0.008916078663360104</v>
      </c>
    </row>
    <row r="91" spans="1:6" ht="12" customHeight="1">
      <c r="A91" s="2" t="s">
        <v>487</v>
      </c>
      <c r="B91" s="48">
        <v>4000</v>
      </c>
      <c r="C91" s="48">
        <v>4000</v>
      </c>
      <c r="D91" s="48"/>
      <c r="E91" s="35">
        <f t="shared" si="5"/>
        <v>8000</v>
      </c>
      <c r="F91" s="54">
        <f t="shared" si="6"/>
        <v>0.014265725861376167</v>
      </c>
    </row>
    <row r="92" spans="1:6" ht="12" customHeight="1">
      <c r="A92" s="2" t="s">
        <v>116</v>
      </c>
      <c r="B92" s="48">
        <v>10000</v>
      </c>
      <c r="C92" s="48"/>
      <c r="D92" s="48"/>
      <c r="E92" s="35">
        <f t="shared" si="5"/>
        <v>10000</v>
      </c>
      <c r="F92" s="54">
        <f t="shared" si="6"/>
        <v>0.017832157326720208</v>
      </c>
    </row>
    <row r="93" spans="1:6" ht="12" customHeight="1">
      <c r="A93" s="2" t="s">
        <v>105</v>
      </c>
      <c r="B93" s="48">
        <v>43400</v>
      </c>
      <c r="C93" s="48">
        <v>2800</v>
      </c>
      <c r="D93" s="48"/>
      <c r="E93" s="35">
        <f t="shared" si="5"/>
        <v>46200</v>
      </c>
      <c r="F93" s="54">
        <f t="shared" si="6"/>
        <v>0.08238456684944735</v>
      </c>
    </row>
    <row r="94" spans="1:6" ht="12" customHeight="1">
      <c r="A94" s="2" t="s">
        <v>300</v>
      </c>
      <c r="B94" s="48">
        <v>60000</v>
      </c>
      <c r="C94" s="48">
        <v>56865</v>
      </c>
      <c r="D94" s="48">
        <v>53552</v>
      </c>
      <c r="E94" s="35">
        <f t="shared" si="5"/>
        <v>170417</v>
      </c>
      <c r="F94" s="54">
        <f t="shared" si="6"/>
        <v>0.30389027551476777</v>
      </c>
    </row>
    <row r="95" spans="1:6" ht="12" customHeight="1">
      <c r="A95" s="2" t="s">
        <v>336</v>
      </c>
      <c r="B95" s="48"/>
      <c r="C95" s="48">
        <v>107500</v>
      </c>
      <c r="D95" s="48">
        <v>10296</v>
      </c>
      <c r="E95" s="35">
        <f t="shared" si="5"/>
        <v>117796</v>
      </c>
      <c r="F95" s="54">
        <f t="shared" si="6"/>
        <v>0.21005568044583336</v>
      </c>
    </row>
    <row r="96" spans="1:6" ht="12" customHeight="1">
      <c r="A96" s="2" t="s">
        <v>107</v>
      </c>
      <c r="B96" s="48">
        <v>15630</v>
      </c>
      <c r="C96" s="48">
        <v>8250</v>
      </c>
      <c r="D96" s="46">
        <v>8500</v>
      </c>
      <c r="E96" s="35">
        <f t="shared" si="5"/>
        <v>32380</v>
      </c>
      <c r="F96" s="54">
        <f t="shared" si="6"/>
        <v>0.05774052542392003</v>
      </c>
    </row>
    <row r="97" spans="1:6" ht="12" customHeight="1">
      <c r="A97" s="2" t="s">
        <v>337</v>
      </c>
      <c r="B97" s="48">
        <v>21600</v>
      </c>
      <c r="C97" s="48">
        <v>11200</v>
      </c>
      <c r="D97" s="46">
        <v>7918</v>
      </c>
      <c r="E97" s="35">
        <f t="shared" si="5"/>
        <v>40718</v>
      </c>
      <c r="F97" s="54">
        <f t="shared" si="6"/>
        <v>0.07260897820293935</v>
      </c>
    </row>
    <row r="98" spans="1:6" ht="12" customHeight="1">
      <c r="A98" s="2" t="s">
        <v>109</v>
      </c>
      <c r="B98" s="48">
        <v>2400</v>
      </c>
      <c r="C98" s="48"/>
      <c r="D98" s="46"/>
      <c r="E98" s="35">
        <f t="shared" si="5"/>
        <v>2400</v>
      </c>
      <c r="F98" s="54">
        <f t="shared" si="6"/>
        <v>0.00427971775841285</v>
      </c>
    </row>
    <row r="99" spans="1:6" ht="12" customHeight="1">
      <c r="A99" s="2" t="s">
        <v>193</v>
      </c>
      <c r="B99" s="48"/>
      <c r="C99" s="48">
        <v>23765</v>
      </c>
      <c r="D99" s="48"/>
      <c r="E99" s="35">
        <f t="shared" si="5"/>
        <v>23765</v>
      </c>
      <c r="F99" s="54">
        <f t="shared" si="6"/>
        <v>0.04237812188695058</v>
      </c>
    </row>
    <row r="100" spans="1:7" ht="12" customHeight="1">
      <c r="A100" s="2" t="s">
        <v>108</v>
      </c>
      <c r="B100" s="48">
        <v>28000</v>
      </c>
      <c r="C100" s="48">
        <v>15000</v>
      </c>
      <c r="D100" s="48"/>
      <c r="E100" s="35">
        <f t="shared" si="5"/>
        <v>43000</v>
      </c>
      <c r="F100" s="54">
        <f t="shared" si="6"/>
        <v>0.07667827650489689</v>
      </c>
      <c r="G100" s="148"/>
    </row>
    <row r="101" spans="1:7" ht="12" customHeight="1">
      <c r="A101" s="2" t="s">
        <v>339</v>
      </c>
      <c r="B101" s="48"/>
      <c r="C101" s="48">
        <v>2300</v>
      </c>
      <c r="D101" s="48">
        <v>22228</v>
      </c>
      <c r="E101" s="35">
        <f t="shared" si="5"/>
        <v>24528</v>
      </c>
      <c r="F101" s="54">
        <f t="shared" si="6"/>
        <v>0.04373871549097933</v>
      </c>
      <c r="G101" s="148"/>
    </row>
    <row r="102" spans="1:7" ht="12" customHeight="1">
      <c r="A102" s="2" t="s">
        <v>265</v>
      </c>
      <c r="B102" s="48"/>
      <c r="C102" s="48">
        <v>7314</v>
      </c>
      <c r="D102" s="48"/>
      <c r="E102" s="35">
        <f t="shared" si="5"/>
        <v>7314</v>
      </c>
      <c r="F102" s="54">
        <f t="shared" si="6"/>
        <v>0.01304243986876316</v>
      </c>
      <c r="G102" s="148"/>
    </row>
    <row r="103" spans="1:7" ht="12" customHeight="1">
      <c r="A103" s="2" t="s">
        <v>186</v>
      </c>
      <c r="B103" s="48">
        <v>3700</v>
      </c>
      <c r="C103" s="48">
        <v>3700</v>
      </c>
      <c r="D103" s="48">
        <v>4070</v>
      </c>
      <c r="E103" s="35">
        <f t="shared" si="5"/>
        <v>11470</v>
      </c>
      <c r="F103" s="54">
        <f t="shared" si="6"/>
        <v>0.020453484453748078</v>
      </c>
      <c r="G103" s="148"/>
    </row>
    <row r="104" spans="1:7" ht="12" customHeight="1">
      <c r="A104" s="2" t="s">
        <v>111</v>
      </c>
      <c r="B104" s="48">
        <v>14220</v>
      </c>
      <c r="C104" s="48"/>
      <c r="D104" s="48"/>
      <c r="E104" s="35">
        <f t="shared" si="5"/>
        <v>14220</v>
      </c>
      <c r="F104" s="54">
        <f t="shared" si="6"/>
        <v>0.025357327718596136</v>
      </c>
      <c r="G104" s="148"/>
    </row>
    <row r="105" spans="1:6" ht="12" customHeight="1">
      <c r="A105" s="2" t="s">
        <v>213</v>
      </c>
      <c r="B105" s="48">
        <v>7376</v>
      </c>
      <c r="C105" s="48">
        <v>7376</v>
      </c>
      <c r="D105" s="48">
        <v>8113</v>
      </c>
      <c r="E105" s="35">
        <f t="shared" si="5"/>
        <v>22865</v>
      </c>
      <c r="F105" s="54">
        <f t="shared" si="6"/>
        <v>0.040773227727545755</v>
      </c>
    </row>
    <row r="106" spans="1:6" ht="12" customHeight="1">
      <c r="A106" s="2" t="s">
        <v>112</v>
      </c>
      <c r="B106" s="48">
        <v>13600</v>
      </c>
      <c r="C106" s="48">
        <f>-14000</f>
        <v>-14000</v>
      </c>
      <c r="D106" s="48"/>
      <c r="E106" s="35">
        <f t="shared" si="5"/>
        <v>-400</v>
      </c>
      <c r="F106" s="54">
        <f t="shared" si="6"/>
        <v>-0.0007132862930688083</v>
      </c>
    </row>
    <row r="107" spans="1:6" ht="12" customHeight="1">
      <c r="A107" s="2" t="s">
        <v>539</v>
      </c>
      <c r="B107" s="48">
        <v>3300</v>
      </c>
      <c r="C107" s="48">
        <v>36525</v>
      </c>
      <c r="D107" s="48">
        <v>43030</v>
      </c>
      <c r="E107" s="35">
        <f t="shared" si="5"/>
        <v>82855</v>
      </c>
      <c r="F107" s="54">
        <f t="shared" si="6"/>
        <v>0.14774833953054028</v>
      </c>
    </row>
    <row r="108" spans="1:6" ht="12" customHeight="1">
      <c r="A108" s="2" t="s">
        <v>124</v>
      </c>
      <c r="B108" s="48"/>
      <c r="C108" s="48">
        <v>50000</v>
      </c>
      <c r="D108" s="48">
        <v>48033.75</v>
      </c>
      <c r="E108" s="35">
        <f t="shared" si="5"/>
        <v>98033.75</v>
      </c>
      <c r="F108" s="54">
        <f t="shared" si="6"/>
        <v>0.17481532533283572</v>
      </c>
    </row>
    <row r="109" spans="1:6" ht="12" customHeight="1">
      <c r="A109" s="2" t="s">
        <v>340</v>
      </c>
      <c r="B109" s="48"/>
      <c r="C109" s="48">
        <v>100000</v>
      </c>
      <c r="D109" s="48">
        <v>40000</v>
      </c>
      <c r="E109" s="35">
        <f t="shared" si="5"/>
        <v>140000</v>
      </c>
      <c r="F109" s="54">
        <f t="shared" si="6"/>
        <v>0.2496502025740829</v>
      </c>
    </row>
    <row r="110" spans="1:6" ht="12" customHeight="1">
      <c r="A110" s="2" t="s">
        <v>493</v>
      </c>
      <c r="B110" s="48"/>
      <c r="C110" s="48">
        <v>5000</v>
      </c>
      <c r="D110" s="48"/>
      <c r="E110" s="35">
        <f t="shared" si="5"/>
        <v>5000</v>
      </c>
      <c r="F110" s="54">
        <f t="shared" si="6"/>
        <v>0.008916078663360104</v>
      </c>
    </row>
    <row r="111" spans="1:6" ht="12" customHeight="1">
      <c r="A111" s="2" t="s">
        <v>540</v>
      </c>
      <c r="B111" s="48">
        <v>56338</v>
      </c>
      <c r="C111" s="48">
        <v>16648</v>
      </c>
      <c r="D111" s="48">
        <v>5002</v>
      </c>
      <c r="E111" s="35">
        <f t="shared" si="5"/>
        <v>77988</v>
      </c>
      <c r="F111" s="54">
        <f t="shared" si="6"/>
        <v>0.13906942855962556</v>
      </c>
    </row>
    <row r="112" spans="2:6" ht="12" customHeight="1">
      <c r="B112" s="48"/>
      <c r="C112" s="48"/>
      <c r="D112" s="48"/>
      <c r="E112" s="35"/>
      <c r="F112" s="54"/>
    </row>
    <row r="113" spans="1:6" ht="12" customHeight="1">
      <c r="A113" s="7" t="s">
        <v>328</v>
      </c>
      <c r="B113" s="147">
        <f>SUM(B67:B112)</f>
        <v>3867423.99</v>
      </c>
      <c r="C113" s="147">
        <f>SUM(C67:C112)</f>
        <v>3026274.0300000003</v>
      </c>
      <c r="D113" s="147">
        <f>SUM(D67:D112)</f>
        <v>1394805.6300000001</v>
      </c>
      <c r="E113" s="147">
        <f>SUM(E67:E112)</f>
        <v>8288503.65</v>
      </c>
      <c r="F113" s="147">
        <f>SUM(F67:F112)</f>
        <v>14.78019010898947</v>
      </c>
    </row>
    <row r="114" spans="5:6" ht="12" customHeight="1" thickBot="1">
      <c r="E114" s="275" t="s">
        <v>166</v>
      </c>
      <c r="F114" s="275"/>
    </row>
    <row r="115" spans="1:6" ht="12" customHeight="1">
      <c r="A115" s="261" t="s">
        <v>19</v>
      </c>
      <c r="B115" s="262"/>
      <c r="C115" s="262"/>
      <c r="D115" s="262"/>
      <c r="E115" s="262"/>
      <c r="F115" s="263"/>
    </row>
    <row r="116" spans="1:6" ht="12" customHeight="1">
      <c r="A116" s="264" t="s">
        <v>20</v>
      </c>
      <c r="B116" s="265"/>
      <c r="C116" s="265"/>
      <c r="D116" s="265"/>
      <c r="E116" s="265"/>
      <c r="F116" s="266"/>
    </row>
    <row r="117" spans="1:6" ht="12" customHeight="1">
      <c r="A117" s="267" t="s">
        <v>227</v>
      </c>
      <c r="B117" s="268"/>
      <c r="C117" s="268"/>
      <c r="D117" s="268"/>
      <c r="E117" s="268"/>
      <c r="F117" s="269"/>
    </row>
    <row r="118" spans="1:6" ht="12" customHeight="1" thickBot="1">
      <c r="A118" s="270" t="s">
        <v>500</v>
      </c>
      <c r="B118" s="271"/>
      <c r="C118" s="271"/>
      <c r="D118" s="271"/>
      <c r="E118" s="271"/>
      <c r="F118" s="272"/>
    </row>
    <row r="119" spans="1:6" ht="7.5" customHeight="1" thickBot="1">
      <c r="A119" s="7"/>
      <c r="B119" s="47"/>
      <c r="C119" s="47"/>
      <c r="D119" s="47"/>
      <c r="E119" s="47"/>
      <c r="F119" s="47"/>
    </row>
    <row r="120" spans="1:6" ht="12" customHeight="1">
      <c r="A120" s="94"/>
      <c r="B120" s="94"/>
      <c r="C120" s="94"/>
      <c r="D120" s="94"/>
      <c r="E120" s="94"/>
      <c r="F120" s="95"/>
    </row>
    <row r="121" spans="1:6" ht="12" customHeight="1">
      <c r="A121" s="96" t="s">
        <v>21</v>
      </c>
      <c r="B121" s="97" t="s">
        <v>478</v>
      </c>
      <c r="C121" s="97" t="s">
        <v>479</v>
      </c>
      <c r="D121" s="97" t="s">
        <v>499</v>
      </c>
      <c r="E121" s="96" t="s">
        <v>22</v>
      </c>
      <c r="F121" s="98" t="s">
        <v>23</v>
      </c>
    </row>
    <row r="122" spans="1:6" ht="12" customHeight="1" thickBot="1">
      <c r="A122" s="99"/>
      <c r="B122" s="99"/>
      <c r="C122" s="99"/>
      <c r="D122" s="99"/>
      <c r="E122" s="99"/>
      <c r="F122" s="100"/>
    </row>
    <row r="123" spans="1:6" ht="6.75" customHeight="1">
      <c r="A123" s="7"/>
      <c r="B123" s="47"/>
      <c r="C123" s="47"/>
      <c r="D123" s="47"/>
      <c r="E123" s="47"/>
      <c r="F123" s="47"/>
    </row>
    <row r="124" spans="1:6" ht="12" customHeight="1">
      <c r="A124" s="2" t="s">
        <v>299</v>
      </c>
      <c r="B124" s="48">
        <v>3900</v>
      </c>
      <c r="C124" s="48">
        <v>3900</v>
      </c>
      <c r="D124" s="48">
        <v>4290</v>
      </c>
      <c r="E124" s="35">
        <f>SUM(B124:D124)</f>
        <v>12090</v>
      </c>
      <c r="F124" s="54">
        <f aca="true" t="shared" si="7" ref="F124:F164">(E124/$E$168*100)</f>
        <v>0.02155907820800473</v>
      </c>
    </row>
    <row r="125" spans="1:6" ht="12" customHeight="1">
      <c r="A125" s="2" t="s">
        <v>341</v>
      </c>
      <c r="B125" s="48">
        <v>5750</v>
      </c>
      <c r="C125" s="48"/>
      <c r="D125" s="48"/>
      <c r="E125" s="35">
        <f>SUM(B125:D125)</f>
        <v>5750</v>
      </c>
      <c r="F125" s="54">
        <f t="shared" si="7"/>
        <v>0.010253490462864119</v>
      </c>
    </row>
    <row r="126" spans="1:6" ht="12" customHeight="1">
      <c r="A126" s="2" t="s">
        <v>113</v>
      </c>
      <c r="B126" s="48">
        <f>25000-4500</f>
        <v>20500</v>
      </c>
      <c r="C126" s="48"/>
      <c r="D126" s="48"/>
      <c r="E126" s="35">
        <f>SUM(B126:D126)</f>
        <v>20500</v>
      </c>
      <c r="F126" s="54">
        <f t="shared" si="7"/>
        <v>0.03655592251977643</v>
      </c>
    </row>
    <row r="127" spans="1:6" ht="12" customHeight="1">
      <c r="A127" s="2" t="s">
        <v>418</v>
      </c>
      <c r="B127" s="48"/>
      <c r="C127" s="48">
        <v>15000</v>
      </c>
      <c r="D127" s="46"/>
      <c r="E127" s="35">
        <f>SUM(B127:D127)</f>
        <v>15000</v>
      </c>
      <c r="F127" s="54">
        <f t="shared" si="7"/>
        <v>0.02674823599008031</v>
      </c>
    </row>
    <row r="128" spans="1:6" ht="12" customHeight="1">
      <c r="A128" s="2" t="s">
        <v>117</v>
      </c>
      <c r="B128" s="65">
        <f>23454.25-1500</f>
        <v>21954.25</v>
      </c>
      <c r="C128" s="65"/>
      <c r="D128" s="48">
        <v>15000</v>
      </c>
      <c r="E128" s="35">
        <f>SUM(B128:D128)</f>
        <v>36954.25</v>
      </c>
      <c r="F128" s="54">
        <f t="shared" si="7"/>
        <v>0.06589739998909502</v>
      </c>
    </row>
    <row r="129" spans="1:6" ht="12" customHeight="1">
      <c r="A129" s="2" t="s">
        <v>126</v>
      </c>
      <c r="B129" s="65">
        <f>-20550</f>
        <v>-20550</v>
      </c>
      <c r="C129" s="65">
        <v>20550</v>
      </c>
      <c r="D129" s="48"/>
      <c r="E129" s="35">
        <f aca="true" t="shared" si="8" ref="E129:E134">SUM(B129:D129)</f>
        <v>0</v>
      </c>
      <c r="F129" s="54">
        <f t="shared" si="7"/>
        <v>0</v>
      </c>
    </row>
    <row r="130" spans="1:6" ht="12" customHeight="1">
      <c r="A130" s="2" t="s">
        <v>279</v>
      </c>
      <c r="B130" s="48">
        <v>6315</v>
      </c>
      <c r="C130" s="48"/>
      <c r="D130" s="48">
        <v>10500</v>
      </c>
      <c r="E130" s="35">
        <f t="shared" si="8"/>
        <v>16815</v>
      </c>
      <c r="F130" s="54">
        <f t="shared" si="7"/>
        <v>0.029984772544880033</v>
      </c>
    </row>
    <row r="131" spans="1:6" ht="12" customHeight="1">
      <c r="A131" s="2" t="s">
        <v>291</v>
      </c>
      <c r="B131" s="48"/>
      <c r="C131" s="48">
        <v>15000</v>
      </c>
      <c r="D131" s="48"/>
      <c r="E131" s="35">
        <f t="shared" si="8"/>
        <v>15000</v>
      </c>
      <c r="F131" s="54">
        <f t="shared" si="7"/>
        <v>0.02674823599008031</v>
      </c>
    </row>
    <row r="132" spans="1:6" ht="12" customHeight="1">
      <c r="A132" s="2" t="s">
        <v>192</v>
      </c>
      <c r="B132" s="48"/>
      <c r="C132" s="48">
        <v>25000</v>
      </c>
      <c r="D132" s="48">
        <v>46000</v>
      </c>
      <c r="E132" s="35">
        <f t="shared" si="8"/>
        <v>71000</v>
      </c>
      <c r="F132" s="54">
        <f t="shared" si="7"/>
        <v>0.12660831701971348</v>
      </c>
    </row>
    <row r="133" spans="1:6" ht="12" customHeight="1">
      <c r="A133" s="2" t="s">
        <v>127</v>
      </c>
      <c r="B133" s="48">
        <v>7000</v>
      </c>
      <c r="C133" s="48"/>
      <c r="D133" s="48"/>
      <c r="E133" s="35">
        <f t="shared" si="8"/>
        <v>7000</v>
      </c>
      <c r="F133" s="54">
        <f t="shared" si="7"/>
        <v>0.012482510128704145</v>
      </c>
    </row>
    <row r="134" spans="1:6" ht="12" customHeight="1">
      <c r="A134" s="2" t="s">
        <v>118</v>
      </c>
      <c r="B134" s="48">
        <v>12540</v>
      </c>
      <c r="C134" s="48">
        <v>12540</v>
      </c>
      <c r="D134" s="48">
        <v>18594</v>
      </c>
      <c r="E134" s="35">
        <f t="shared" si="8"/>
        <v>43674</v>
      </c>
      <c r="F134" s="54">
        <f t="shared" si="7"/>
        <v>0.07788016390871784</v>
      </c>
    </row>
    <row r="135" spans="1:6" ht="12.75" customHeight="1">
      <c r="A135" s="2" t="s">
        <v>496</v>
      </c>
      <c r="B135" s="48"/>
      <c r="C135" s="48"/>
      <c r="D135" s="48">
        <v>7860</v>
      </c>
      <c r="E135" s="35">
        <f aca="true" t="shared" si="9" ref="E135:E148">SUM(B135:D135)</f>
        <v>7860</v>
      </c>
      <c r="F135" s="54">
        <f t="shared" si="7"/>
        <v>0.014016075658802085</v>
      </c>
    </row>
    <row r="136" spans="1:6" ht="12" customHeight="1">
      <c r="A136" s="2" t="s">
        <v>409</v>
      </c>
      <c r="B136" s="48">
        <v>6900</v>
      </c>
      <c r="C136" s="48">
        <v>13500</v>
      </c>
      <c r="D136" s="48">
        <v>10650</v>
      </c>
      <c r="E136" s="35">
        <f t="shared" si="9"/>
        <v>31050</v>
      </c>
      <c r="F136" s="54">
        <f t="shared" si="7"/>
        <v>0.055368848499466244</v>
      </c>
    </row>
    <row r="137" spans="1:6" ht="12" customHeight="1">
      <c r="A137" s="2" t="s">
        <v>130</v>
      </c>
      <c r="B137" s="48">
        <v>2444</v>
      </c>
      <c r="C137" s="48">
        <v>2444</v>
      </c>
      <c r="D137" s="48">
        <v>28968</v>
      </c>
      <c r="E137" s="35">
        <f t="shared" si="9"/>
        <v>33856</v>
      </c>
      <c r="F137" s="54">
        <f t="shared" si="7"/>
        <v>0.060372551845343944</v>
      </c>
    </row>
    <row r="138" spans="1:6" ht="12" customHeight="1">
      <c r="A138" s="2" t="s">
        <v>119</v>
      </c>
      <c r="B138" s="48">
        <v>2000</v>
      </c>
      <c r="C138" s="48">
        <v>13500</v>
      </c>
      <c r="D138" s="48">
        <v>17200</v>
      </c>
      <c r="E138" s="35">
        <f t="shared" si="9"/>
        <v>32700</v>
      </c>
      <c r="F138" s="54">
        <f t="shared" si="7"/>
        <v>0.05831115445837508</v>
      </c>
    </row>
    <row r="139" spans="1:6" ht="12" customHeight="1">
      <c r="A139" s="2" t="s">
        <v>177</v>
      </c>
      <c r="B139" s="48">
        <v>3000</v>
      </c>
      <c r="C139" s="48"/>
      <c r="D139" s="48"/>
      <c r="E139" s="35">
        <f t="shared" si="9"/>
        <v>3000</v>
      </c>
      <c r="F139" s="54">
        <f t="shared" si="7"/>
        <v>0.005349647198016063</v>
      </c>
    </row>
    <row r="140" spans="1:6" ht="12" customHeight="1">
      <c r="A140" s="2" t="s">
        <v>189</v>
      </c>
      <c r="B140" s="48">
        <v>1200</v>
      </c>
      <c r="C140" s="48">
        <v>1200</v>
      </c>
      <c r="D140" s="48">
        <v>3000</v>
      </c>
      <c r="E140" s="35">
        <f t="shared" si="9"/>
        <v>5400</v>
      </c>
      <c r="F140" s="54">
        <f t="shared" si="7"/>
        <v>0.009629364956428913</v>
      </c>
    </row>
    <row r="141" spans="1:6" ht="12" customHeight="1">
      <c r="A141" s="2" t="s">
        <v>162</v>
      </c>
      <c r="B141" s="48">
        <v>7474</v>
      </c>
      <c r="C141" s="48">
        <v>7474</v>
      </c>
      <c r="D141" s="48">
        <v>13221</v>
      </c>
      <c r="E141" s="35">
        <f t="shared" si="9"/>
        <v>28169</v>
      </c>
      <c r="F141" s="54">
        <f t="shared" si="7"/>
        <v>0.05023140397363815</v>
      </c>
    </row>
    <row r="142" spans="1:6" ht="12" customHeight="1">
      <c r="A142" s="2" t="s">
        <v>289</v>
      </c>
      <c r="B142" s="48">
        <v>1180</v>
      </c>
      <c r="C142" s="48">
        <v>1180</v>
      </c>
      <c r="D142" s="48">
        <v>1975</v>
      </c>
      <c r="E142" s="35">
        <f t="shared" si="9"/>
        <v>4335</v>
      </c>
      <c r="F142" s="54">
        <f t="shared" si="7"/>
        <v>0.00773024020113321</v>
      </c>
    </row>
    <row r="143" spans="1:6" ht="12" customHeight="1">
      <c r="A143" s="2" t="s">
        <v>332</v>
      </c>
      <c r="B143" s="48">
        <v>3500</v>
      </c>
      <c r="C143" s="48">
        <v>6500</v>
      </c>
      <c r="D143" s="48">
        <v>11650</v>
      </c>
      <c r="E143" s="35">
        <f t="shared" si="9"/>
        <v>21650</v>
      </c>
      <c r="F143" s="54">
        <f t="shared" si="7"/>
        <v>0.038606620612349256</v>
      </c>
    </row>
    <row r="144" spans="1:6" ht="12" customHeight="1">
      <c r="A144" s="2" t="s">
        <v>131</v>
      </c>
      <c r="B144" s="48"/>
      <c r="C144" s="48"/>
      <c r="D144" s="48">
        <v>6400</v>
      </c>
      <c r="E144" s="35">
        <f t="shared" si="9"/>
        <v>6400</v>
      </c>
      <c r="F144" s="54">
        <f t="shared" si="7"/>
        <v>0.011412580689100933</v>
      </c>
    </row>
    <row r="145" spans="1:6" ht="12.75" customHeight="1">
      <c r="A145" s="2" t="s">
        <v>132</v>
      </c>
      <c r="B145" s="48"/>
      <c r="C145" s="48">
        <v>5000</v>
      </c>
      <c r="D145" s="48"/>
      <c r="E145" s="35">
        <f t="shared" si="9"/>
        <v>5000</v>
      </c>
      <c r="F145" s="54">
        <f t="shared" si="7"/>
        <v>0.008916078663360104</v>
      </c>
    </row>
    <row r="146" spans="1:6" ht="12" customHeight="1">
      <c r="A146" s="2" t="s">
        <v>267</v>
      </c>
      <c r="B146" s="48">
        <v>2169.5</v>
      </c>
      <c r="C146" s="48">
        <v>4429.5</v>
      </c>
      <c r="D146" s="48">
        <v>1301</v>
      </c>
      <c r="E146" s="35">
        <f t="shared" si="9"/>
        <v>7900</v>
      </c>
      <c r="F146" s="54">
        <f t="shared" si="7"/>
        <v>0.014087404288108963</v>
      </c>
    </row>
    <row r="147" spans="1:6" ht="12" customHeight="1">
      <c r="A147" s="2" t="s">
        <v>134</v>
      </c>
      <c r="B147" s="48">
        <f>2443-2443</f>
        <v>0</v>
      </c>
      <c r="C147" s="48">
        <v>2443</v>
      </c>
      <c r="D147" s="48">
        <v>1465</v>
      </c>
      <c r="E147" s="35">
        <f t="shared" si="9"/>
        <v>3908</v>
      </c>
      <c r="F147" s="54">
        <f t="shared" si="7"/>
        <v>0.006968807083282257</v>
      </c>
    </row>
    <row r="148" spans="1:6" ht="12" customHeight="1">
      <c r="A148" s="2" t="s">
        <v>135</v>
      </c>
      <c r="B148" s="48">
        <v>16443</v>
      </c>
      <c r="C148" s="48">
        <v>23492.03</v>
      </c>
      <c r="D148" s="48">
        <v>17665</v>
      </c>
      <c r="E148" s="35">
        <f t="shared" si="9"/>
        <v>57600.03</v>
      </c>
      <c r="F148" s="54">
        <f t="shared" si="7"/>
        <v>0.10271327969838039</v>
      </c>
    </row>
    <row r="149" spans="1:6" ht="12.75" customHeight="1">
      <c r="A149" s="2" t="s">
        <v>181</v>
      </c>
      <c r="B149" s="48">
        <v>5016</v>
      </c>
      <c r="C149" s="48">
        <v>1672</v>
      </c>
      <c r="D149" s="48">
        <v>1003</v>
      </c>
      <c r="E149" s="35">
        <f aca="true" t="shared" si="10" ref="E149:E164">SUM(B149:D149)</f>
        <v>7691</v>
      </c>
      <c r="F149" s="54">
        <f t="shared" si="7"/>
        <v>0.013714712199980512</v>
      </c>
    </row>
    <row r="150" spans="1:6" ht="12" customHeight="1">
      <c r="A150" s="2" t="s">
        <v>182</v>
      </c>
      <c r="B150" s="48">
        <v>4500</v>
      </c>
      <c r="C150" s="48"/>
      <c r="D150" s="48">
        <v>2000</v>
      </c>
      <c r="E150" s="35">
        <f t="shared" si="10"/>
        <v>6500</v>
      </c>
      <c r="F150" s="54">
        <f t="shared" si="7"/>
        <v>0.011590902262368134</v>
      </c>
    </row>
    <row r="151" spans="1:6" ht="12" customHeight="1">
      <c r="A151" s="2" t="s">
        <v>422</v>
      </c>
      <c r="B151" s="48">
        <v>3600</v>
      </c>
      <c r="C151" s="48">
        <v>3600</v>
      </c>
      <c r="D151" s="48">
        <v>2880</v>
      </c>
      <c r="E151" s="35">
        <f t="shared" si="10"/>
        <v>10080</v>
      </c>
      <c r="F151" s="54">
        <f t="shared" si="7"/>
        <v>0.017974814585333967</v>
      </c>
    </row>
    <row r="152" spans="1:6" ht="12" customHeight="1">
      <c r="A152" s="2" t="s">
        <v>137</v>
      </c>
      <c r="B152" s="48">
        <v>11639</v>
      </c>
      <c r="C152" s="48">
        <v>2500</v>
      </c>
      <c r="D152" s="48">
        <v>22750</v>
      </c>
      <c r="E152" s="35">
        <f t="shared" si="10"/>
        <v>36889</v>
      </c>
      <c r="F152" s="54">
        <f t="shared" si="7"/>
        <v>0.06578104516253817</v>
      </c>
    </row>
    <row r="153" spans="1:6" ht="12" customHeight="1">
      <c r="A153" s="2" t="s">
        <v>455</v>
      </c>
      <c r="B153" s="48">
        <f>1627+1627</f>
        <v>3254</v>
      </c>
      <c r="C153" s="48">
        <f>5478-1627+1627</f>
        <v>5478</v>
      </c>
      <c r="D153" s="48">
        <f>23579-1627</f>
        <v>21952</v>
      </c>
      <c r="E153" s="35">
        <f t="shared" si="10"/>
        <v>30684</v>
      </c>
      <c r="F153" s="54">
        <f t="shared" si="7"/>
        <v>0.05471619154130829</v>
      </c>
    </row>
    <row r="154" spans="1:6" ht="12" customHeight="1">
      <c r="A154" s="2" t="s">
        <v>215</v>
      </c>
      <c r="B154" s="48">
        <v>18414</v>
      </c>
      <c r="C154" s="48">
        <v>51127</v>
      </c>
      <c r="D154" s="48">
        <v>5523</v>
      </c>
      <c r="E154" s="35">
        <f t="shared" si="10"/>
        <v>75064</v>
      </c>
      <c r="F154" s="54">
        <f t="shared" si="7"/>
        <v>0.13385530575729257</v>
      </c>
    </row>
    <row r="155" spans="1:6" ht="12" customHeight="1">
      <c r="A155" s="2" t="s">
        <v>298</v>
      </c>
      <c r="B155" s="48">
        <v>24500</v>
      </c>
      <c r="C155" s="48">
        <v>5082.94</v>
      </c>
      <c r="D155" s="48"/>
      <c r="E155" s="35">
        <f t="shared" si="10"/>
        <v>29582.94</v>
      </c>
      <c r="F155" s="54">
        <f t="shared" si="7"/>
        <v>0.05275276402669243</v>
      </c>
    </row>
    <row r="156" spans="1:6" ht="12" customHeight="1">
      <c r="A156" s="2" t="s">
        <v>216</v>
      </c>
      <c r="B156" s="48">
        <v>11142.6</v>
      </c>
      <c r="C156" s="48">
        <v>33642.6</v>
      </c>
      <c r="D156" s="48">
        <v>6684</v>
      </c>
      <c r="E156" s="35">
        <f t="shared" si="10"/>
        <v>51469.2</v>
      </c>
      <c r="F156" s="54">
        <f t="shared" si="7"/>
        <v>0.09178068718804278</v>
      </c>
    </row>
    <row r="157" spans="1:6" ht="12" customHeight="1">
      <c r="A157" s="2" t="s">
        <v>268</v>
      </c>
      <c r="B157" s="48">
        <v>3000</v>
      </c>
      <c r="C157" s="48">
        <v>3000</v>
      </c>
      <c r="D157" s="48">
        <v>2850</v>
      </c>
      <c r="E157" s="35">
        <f t="shared" si="10"/>
        <v>8850</v>
      </c>
      <c r="F157" s="54">
        <f t="shared" si="7"/>
        <v>0.015781459234147383</v>
      </c>
    </row>
    <row r="158" spans="1:6" ht="12" customHeight="1">
      <c r="A158" s="2" t="s">
        <v>342</v>
      </c>
      <c r="B158" s="48"/>
      <c r="C158" s="48"/>
      <c r="D158" s="48">
        <v>54874.85</v>
      </c>
      <c r="E158" s="35">
        <f>SUM(B158:D158)</f>
        <v>54874.85</v>
      </c>
      <c r="F158" s="54">
        <f t="shared" si="7"/>
        <v>0.09785369584801723</v>
      </c>
    </row>
    <row r="159" spans="1:7" ht="12" customHeight="1">
      <c r="A159" s="2" t="s">
        <v>163</v>
      </c>
      <c r="B159" s="48">
        <v>10700</v>
      </c>
      <c r="C159" s="48">
        <v>7960</v>
      </c>
      <c r="D159" s="48">
        <v>6368</v>
      </c>
      <c r="E159" s="35">
        <f>SUM(B159:D159)</f>
        <v>25028</v>
      </c>
      <c r="F159" s="54">
        <f t="shared" si="7"/>
        <v>0.04463032335731534</v>
      </c>
      <c r="G159" s="148"/>
    </row>
    <row r="160" spans="1:7" ht="12" customHeight="1">
      <c r="A160" s="2" t="s">
        <v>217</v>
      </c>
      <c r="B160" s="48">
        <v>21127.6</v>
      </c>
      <c r="C160" s="48">
        <v>10400</v>
      </c>
      <c r="D160" s="48">
        <v>5000</v>
      </c>
      <c r="E160" s="35">
        <f t="shared" si="10"/>
        <v>36527.6</v>
      </c>
      <c r="F160" s="54">
        <f t="shared" si="7"/>
        <v>0.06513659099675051</v>
      </c>
      <c r="G160" s="148"/>
    </row>
    <row r="161" spans="1:7" ht="12" customHeight="1">
      <c r="A161" s="2" t="s">
        <v>152</v>
      </c>
      <c r="B161" s="48">
        <f>-11500</f>
        <v>-11500</v>
      </c>
      <c r="C161" s="48"/>
      <c r="D161" s="48"/>
      <c r="E161" s="35">
        <f t="shared" si="10"/>
        <v>-11500</v>
      </c>
      <c r="F161" s="54">
        <f t="shared" si="7"/>
        <v>-0.020506980925728238</v>
      </c>
      <c r="G161" s="148"/>
    </row>
    <row r="162" spans="1:7" ht="12" customHeight="1">
      <c r="A162" s="2" t="s">
        <v>138</v>
      </c>
      <c r="B162" s="48">
        <v>3395</v>
      </c>
      <c r="C162" s="48">
        <v>3395</v>
      </c>
      <c r="D162" s="48">
        <v>5432</v>
      </c>
      <c r="E162" s="35">
        <f t="shared" si="10"/>
        <v>12222</v>
      </c>
      <c r="F162" s="54">
        <f t="shared" si="7"/>
        <v>0.021794462684717436</v>
      </c>
      <c r="G162" s="148"/>
    </row>
    <row r="163" spans="1:7" ht="12" customHeight="1">
      <c r="A163" s="2" t="s">
        <v>347</v>
      </c>
      <c r="B163" s="48">
        <v>10000</v>
      </c>
      <c r="C163" s="48"/>
      <c r="D163" s="48">
        <v>20618</v>
      </c>
      <c r="E163" s="35">
        <f>SUM(B163:D163)</f>
        <v>30618</v>
      </c>
      <c r="F163" s="54">
        <f t="shared" si="7"/>
        <v>0.05459849930295193</v>
      </c>
      <c r="G163" s="148"/>
    </row>
    <row r="164" spans="1:6" ht="12" customHeight="1">
      <c r="A164" s="2" t="s">
        <v>459</v>
      </c>
      <c r="B164" s="48">
        <v>28672</v>
      </c>
      <c r="C164" s="48">
        <v>38340</v>
      </c>
      <c r="D164" s="48">
        <v>29422</v>
      </c>
      <c r="E164" s="35">
        <f t="shared" si="10"/>
        <v>96434</v>
      </c>
      <c r="F164" s="54">
        <f t="shared" si="7"/>
        <v>0.17196262596449366</v>
      </c>
    </row>
    <row r="165" spans="2:5" ht="12" customHeight="1">
      <c r="B165" s="2"/>
      <c r="C165" s="2"/>
      <c r="D165" s="2"/>
      <c r="E165" s="2"/>
    </row>
    <row r="166" spans="1:6" ht="12.75">
      <c r="A166" s="7" t="s">
        <v>328</v>
      </c>
      <c r="B166" s="147">
        <f>SUM(B124:B165)</f>
        <v>251179.95</v>
      </c>
      <c r="C166" s="147">
        <f>SUM(C124:C165)</f>
        <v>339350.07</v>
      </c>
      <c r="D166" s="147">
        <f>SUM(D124:D165)</f>
        <v>403095.85</v>
      </c>
      <c r="E166" s="147">
        <f>SUM(E124:E165)</f>
        <v>993625.8699999999</v>
      </c>
      <c r="F166" s="147">
        <f>SUM(F124:F165)</f>
        <v>1.7718492837739244</v>
      </c>
    </row>
    <row r="167" spans="2:6" ht="12.75">
      <c r="B167" s="149"/>
      <c r="C167" s="149"/>
      <c r="D167" s="149"/>
      <c r="E167" s="41"/>
      <c r="F167" s="150"/>
    </row>
    <row r="168" spans="1:6" ht="13.5" thickBot="1">
      <c r="A168" s="7" t="s">
        <v>140</v>
      </c>
      <c r="B168" s="111">
        <f>B56+B113+B166</f>
        <v>22320657.7</v>
      </c>
      <c r="C168" s="111">
        <f>C56+C113+C166</f>
        <v>18789545.44</v>
      </c>
      <c r="D168" s="111">
        <f>D56+D113+D166</f>
        <v>14968261.27</v>
      </c>
      <c r="E168" s="111">
        <f>E56+E113+E166</f>
        <v>56078464.410000004</v>
      </c>
      <c r="F168" s="111">
        <f>F56+F113+F166</f>
        <v>99.99999999999999</v>
      </c>
    </row>
    <row r="169" ht="13.5" thickTop="1"/>
    <row r="170" spans="2:4" ht="12.75">
      <c r="B170" s="152"/>
      <c r="C170" s="152"/>
      <c r="D170" s="152"/>
    </row>
    <row r="171" spans="1:4" ht="12.75">
      <c r="A171" s="153"/>
      <c r="D171" s="152"/>
    </row>
    <row r="172" spans="2:4" ht="12.75">
      <c r="B172" s="48"/>
      <c r="C172" s="48"/>
      <c r="D172" s="48"/>
    </row>
    <row r="173" spans="2:4" ht="12.75">
      <c r="B173" s="48"/>
      <c r="C173" s="48"/>
      <c r="D173" s="48"/>
    </row>
    <row r="174" spans="2:3" ht="12.75">
      <c r="B174" s="48"/>
      <c r="C174" s="48"/>
    </row>
    <row r="175" spans="2:3" ht="12.75">
      <c r="B175" s="48"/>
      <c r="C175" s="48"/>
    </row>
    <row r="176" spans="2:4" ht="12.75">
      <c r="B176" s="152"/>
      <c r="C176" s="152"/>
      <c r="D176" s="152"/>
    </row>
    <row r="177" spans="1:4" ht="12.75">
      <c r="A177" s="66"/>
      <c r="B177" s="48"/>
      <c r="C177" s="48"/>
      <c r="D177" s="48"/>
    </row>
  </sheetData>
  <mergeCells count="15">
    <mergeCell ref="A117:F117"/>
    <mergeCell ref="A118:F118"/>
    <mergeCell ref="A61:F61"/>
    <mergeCell ref="E114:F114"/>
    <mergeCell ref="A115:F115"/>
    <mergeCell ref="A116:F116"/>
    <mergeCell ref="E57:F57"/>
    <mergeCell ref="A58:F58"/>
    <mergeCell ref="A59:F59"/>
    <mergeCell ref="A60:F60"/>
    <mergeCell ref="A5:F5"/>
    <mergeCell ref="E1:F1"/>
    <mergeCell ref="A2:F2"/>
    <mergeCell ref="A3:F3"/>
    <mergeCell ref="A4:F4"/>
  </mergeCells>
  <printOptions/>
  <pageMargins left="0.7874015748031497" right="0.5905511811023623" top="0.984251968503937" bottom="0.7874015748031497" header="0" footer="0"/>
  <pageSetup horizontalDpi="600" verticalDpi="600" orientation="portrait" r:id="rId1"/>
  <headerFooter alignWithMargins="0"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55">
      <selection activeCell="B54" sqref="B54"/>
    </sheetView>
  </sheetViews>
  <sheetFormatPr defaultColWidth="9.140625" defaultRowHeight="12.75"/>
  <cols>
    <col min="1" max="1" width="44.8515625" style="2" customWidth="1"/>
    <col min="2" max="3" width="8.7109375" style="33" bestFit="1" customWidth="1"/>
    <col min="4" max="4" width="7.8515625" style="33" bestFit="1" customWidth="1"/>
    <col min="5" max="5" width="8.7109375" style="33" bestFit="1" customWidth="1"/>
    <col min="6" max="6" width="6.8515625" style="2" bestFit="1" customWidth="1"/>
    <col min="7" max="16384" width="11.421875" style="2" customWidth="1"/>
  </cols>
  <sheetData>
    <row r="1" spans="5:6" ht="13.5" thickBot="1">
      <c r="E1" s="275" t="s">
        <v>167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457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ht="8.25" customHeight="1" thickBot="1"/>
    <row r="7" spans="1:6" ht="12.75">
      <c r="A7" s="94"/>
      <c r="B7" s="159"/>
      <c r="C7" s="159"/>
      <c r="D7" s="159"/>
      <c r="E7" s="159"/>
      <c r="F7" s="95"/>
    </row>
    <row r="8" spans="1:6" ht="12.75">
      <c r="A8" s="96" t="s">
        <v>21</v>
      </c>
      <c r="B8" s="97" t="s">
        <v>478</v>
      </c>
      <c r="C8" s="97" t="s">
        <v>479</v>
      </c>
      <c r="D8" s="97" t="s">
        <v>499</v>
      </c>
      <c r="E8" s="160" t="s">
        <v>22</v>
      </c>
      <c r="F8" s="98" t="s">
        <v>23</v>
      </c>
    </row>
    <row r="9" spans="1:6" ht="13.5" thickBot="1">
      <c r="A9" s="99"/>
      <c r="B9" s="161"/>
      <c r="C9" s="161"/>
      <c r="D9" s="161"/>
      <c r="E9" s="161"/>
      <c r="F9" s="100"/>
    </row>
    <row r="10" spans="1:6" ht="6.75" customHeight="1">
      <c r="A10" s="3"/>
      <c r="B10" s="34"/>
      <c r="C10" s="34"/>
      <c r="D10" s="34"/>
      <c r="E10" s="34"/>
      <c r="F10" s="3"/>
    </row>
    <row r="11" spans="1:6" ht="12" customHeight="1">
      <c r="A11" s="2" t="s">
        <v>488</v>
      </c>
      <c r="B11" s="65">
        <v>2950</v>
      </c>
      <c r="C11" s="65">
        <v>9800</v>
      </c>
      <c r="D11" s="65"/>
      <c r="E11" s="65">
        <f>SUM(B11:D11)</f>
        <v>12750</v>
      </c>
      <c r="F11" s="55">
        <f aca="true" t="shared" si="0" ref="F11:F52">(E11/$E$73*100)</f>
        <v>2.220727106811644</v>
      </c>
    </row>
    <row r="12" spans="1:6" ht="12" customHeight="1">
      <c r="A12" s="2" t="s">
        <v>420</v>
      </c>
      <c r="B12" s="65"/>
      <c r="C12" s="65">
        <v>1100</v>
      </c>
      <c r="D12" s="65"/>
      <c r="E12" s="65">
        <f>SUM(B12:D12)</f>
        <v>1100</v>
      </c>
      <c r="F12" s="55">
        <f t="shared" si="0"/>
        <v>0.19159214254845558</v>
      </c>
    </row>
    <row r="13" spans="1:7" ht="12" customHeight="1">
      <c r="A13" s="2" t="s">
        <v>494</v>
      </c>
      <c r="B13" s="49"/>
      <c r="C13" s="49">
        <v>1400</v>
      </c>
      <c r="D13" s="49">
        <v>4000</v>
      </c>
      <c r="E13" s="65">
        <f>SUM(B13:D13)</f>
        <v>5400</v>
      </c>
      <c r="F13" s="55">
        <f t="shared" si="0"/>
        <v>0.9405432452378728</v>
      </c>
      <c r="G13" s="22"/>
    </row>
    <row r="14" spans="1:6" ht="12" customHeight="1">
      <c r="A14" s="9" t="s">
        <v>96</v>
      </c>
      <c r="B14" s="49"/>
      <c r="C14" s="49">
        <v>2000</v>
      </c>
      <c r="D14" s="49"/>
      <c r="E14" s="65">
        <f>SUM(B14:D14)</f>
        <v>2000</v>
      </c>
      <c r="F14" s="55">
        <f t="shared" si="0"/>
        <v>0.34834935008810103</v>
      </c>
    </row>
    <row r="15" spans="1:7" ht="12" customHeight="1">
      <c r="A15" s="9" t="s">
        <v>97</v>
      </c>
      <c r="B15" s="49">
        <v>7126.38</v>
      </c>
      <c r="C15" s="49">
        <v>3000</v>
      </c>
      <c r="D15" s="49"/>
      <c r="E15" s="65">
        <f aca="true" t="shared" si="1" ref="E15:E34">SUM(B15:D15)</f>
        <v>10126.380000000001</v>
      </c>
      <c r="F15" s="55">
        <f t="shared" si="0"/>
        <v>1.7637589458725722</v>
      </c>
      <c r="G15" s="22"/>
    </row>
    <row r="16" spans="1:7" ht="12" customHeight="1">
      <c r="A16" s="9" t="s">
        <v>98</v>
      </c>
      <c r="B16" s="49">
        <v>3000</v>
      </c>
      <c r="C16" s="49"/>
      <c r="D16" s="49"/>
      <c r="E16" s="65">
        <f t="shared" si="1"/>
        <v>3000</v>
      </c>
      <c r="F16" s="55">
        <f t="shared" si="0"/>
        <v>0.5225240251321516</v>
      </c>
      <c r="G16" s="22"/>
    </row>
    <row r="17" spans="1:7" ht="12" customHeight="1">
      <c r="A17" s="9" t="s">
        <v>202</v>
      </c>
      <c r="B17" s="49">
        <v>33000</v>
      </c>
      <c r="C17" s="49">
        <v>4000</v>
      </c>
      <c r="D17" s="49"/>
      <c r="E17" s="65">
        <f>SUM(B17:D17)</f>
        <v>37000</v>
      </c>
      <c r="F17" s="55">
        <f t="shared" si="0"/>
        <v>6.444462976629869</v>
      </c>
      <c r="G17" s="22"/>
    </row>
    <row r="18" spans="1:7" ht="12" customHeight="1">
      <c r="A18" s="2" t="s">
        <v>99</v>
      </c>
      <c r="B18" s="49">
        <f>23513.5-15000</f>
        <v>8513.5</v>
      </c>
      <c r="C18" s="49">
        <v>24650</v>
      </c>
      <c r="D18" s="46">
        <v>3000</v>
      </c>
      <c r="E18" s="65">
        <f t="shared" si="1"/>
        <v>36163.5</v>
      </c>
      <c r="F18" s="55">
        <f t="shared" si="0"/>
        <v>6.29876586095552</v>
      </c>
      <c r="G18" s="22"/>
    </row>
    <row r="19" spans="1:7" ht="12" customHeight="1">
      <c r="A19" s="9" t="s">
        <v>100</v>
      </c>
      <c r="B19" s="49">
        <v>7900</v>
      </c>
      <c r="C19" s="49">
        <v>2200</v>
      </c>
      <c r="D19" s="46">
        <v>18112.35</v>
      </c>
      <c r="E19" s="65">
        <f>SUM(B19:D19)</f>
        <v>28212.35</v>
      </c>
      <c r="F19" s="55">
        <f t="shared" si="0"/>
        <v>4.913876893479018</v>
      </c>
      <c r="G19" s="22"/>
    </row>
    <row r="20" spans="1:7" ht="12" customHeight="1">
      <c r="A20" s="9" t="s">
        <v>249</v>
      </c>
      <c r="B20" s="49">
        <v>8300</v>
      </c>
      <c r="C20" s="49">
        <v>22500</v>
      </c>
      <c r="D20" s="46">
        <v>2600</v>
      </c>
      <c r="E20" s="65">
        <f t="shared" si="1"/>
        <v>33400</v>
      </c>
      <c r="F20" s="55">
        <f t="shared" si="0"/>
        <v>5.817434146471287</v>
      </c>
      <c r="G20" s="22"/>
    </row>
    <row r="21" spans="1:7" ht="12" customHeight="1">
      <c r="A21" s="9" t="s">
        <v>292</v>
      </c>
      <c r="B21" s="49">
        <v>3600</v>
      </c>
      <c r="C21" s="49">
        <v>2200</v>
      </c>
      <c r="D21" s="46"/>
      <c r="E21" s="65">
        <f t="shared" si="1"/>
        <v>5800</v>
      </c>
      <c r="F21" s="55">
        <f t="shared" si="0"/>
        <v>1.010213115255493</v>
      </c>
      <c r="G21" s="22"/>
    </row>
    <row r="22" spans="1:7" ht="12" customHeight="1">
      <c r="A22" s="2" t="s">
        <v>260</v>
      </c>
      <c r="B22" s="49">
        <v>16600</v>
      </c>
      <c r="C22" s="49">
        <f>15400+4400</f>
        <v>19800</v>
      </c>
      <c r="D22" s="46">
        <f>13368-4400</f>
        <v>8968</v>
      </c>
      <c r="E22" s="65">
        <f t="shared" si="1"/>
        <v>45368</v>
      </c>
      <c r="F22" s="55">
        <f t="shared" si="0"/>
        <v>7.901956657398483</v>
      </c>
      <c r="G22" s="22"/>
    </row>
    <row r="23" spans="1:7" ht="12" customHeight="1">
      <c r="A23" s="119" t="s">
        <v>272</v>
      </c>
      <c r="B23" s="49"/>
      <c r="C23" s="49"/>
      <c r="D23" s="46">
        <v>3000</v>
      </c>
      <c r="E23" s="65">
        <f>SUM(B23:D23)</f>
        <v>3000</v>
      </c>
      <c r="F23" s="55">
        <f t="shared" si="0"/>
        <v>0.5225240251321516</v>
      </c>
      <c r="G23" s="22"/>
    </row>
    <row r="24" spans="1:6" ht="12" customHeight="1">
      <c r="A24" s="2" t="s">
        <v>333</v>
      </c>
      <c r="B24" s="49">
        <v>15750</v>
      </c>
      <c r="C24" s="49">
        <v>12150</v>
      </c>
      <c r="D24" s="49">
        <v>5100</v>
      </c>
      <c r="E24" s="65">
        <f t="shared" si="1"/>
        <v>33000</v>
      </c>
      <c r="F24" s="55">
        <f t="shared" si="0"/>
        <v>5.747764276453666</v>
      </c>
    </row>
    <row r="25" spans="1:6" ht="12" customHeight="1">
      <c r="A25" s="2" t="s">
        <v>434</v>
      </c>
      <c r="B25" s="49">
        <f>-2000</f>
        <v>-2000</v>
      </c>
      <c r="C25" s="49"/>
      <c r="D25" s="49"/>
      <c r="E25" s="65">
        <f>SUM(B25:D25)</f>
        <v>-2000</v>
      </c>
      <c r="F25" s="55">
        <f t="shared" si="0"/>
        <v>-0.34834935008810103</v>
      </c>
    </row>
    <row r="26" spans="1:6" ht="12" customHeight="1">
      <c r="A26" s="2" t="s">
        <v>296</v>
      </c>
      <c r="B26" s="49">
        <v>2500</v>
      </c>
      <c r="C26" s="49"/>
      <c r="D26" s="49"/>
      <c r="E26" s="65">
        <f t="shared" si="1"/>
        <v>2500</v>
      </c>
      <c r="F26" s="55">
        <f t="shared" si="0"/>
        <v>0.43543668761012627</v>
      </c>
    </row>
    <row r="27" spans="1:6" ht="12" customHeight="1">
      <c r="A27" s="2" t="s">
        <v>458</v>
      </c>
      <c r="B27" s="49"/>
      <c r="C27" s="49">
        <v>2000</v>
      </c>
      <c r="D27" s="49"/>
      <c r="E27" s="65">
        <f t="shared" si="1"/>
        <v>2000</v>
      </c>
      <c r="F27" s="55">
        <f t="shared" si="0"/>
        <v>0.34834935008810103</v>
      </c>
    </row>
    <row r="28" spans="1:6" ht="12" customHeight="1">
      <c r="A28" s="2" t="s">
        <v>269</v>
      </c>
      <c r="B28" s="49">
        <v>3000</v>
      </c>
      <c r="C28" s="49"/>
      <c r="D28" s="49"/>
      <c r="E28" s="65">
        <f t="shared" si="1"/>
        <v>3000</v>
      </c>
      <c r="F28" s="55">
        <f t="shared" si="0"/>
        <v>0.5225240251321516</v>
      </c>
    </row>
    <row r="29" spans="1:6" ht="12" customHeight="1">
      <c r="A29" s="2" t="s">
        <v>264</v>
      </c>
      <c r="B29" s="49">
        <f>-14240</f>
        <v>-14240</v>
      </c>
      <c r="C29" s="49"/>
      <c r="D29" s="49"/>
      <c r="E29" s="65">
        <f t="shared" si="1"/>
        <v>-14240</v>
      </c>
      <c r="F29" s="55">
        <f t="shared" si="0"/>
        <v>-2.4802473726272796</v>
      </c>
    </row>
    <row r="30" spans="1:6" ht="12" customHeight="1">
      <c r="A30" s="2" t="s">
        <v>203</v>
      </c>
      <c r="B30" s="49">
        <v>4400</v>
      </c>
      <c r="C30" s="49"/>
      <c r="D30" s="49"/>
      <c r="E30" s="65">
        <f>SUM(B30:D30)</f>
        <v>4400</v>
      </c>
      <c r="F30" s="55">
        <f t="shared" si="0"/>
        <v>0.7663685701938223</v>
      </c>
    </row>
    <row r="31" spans="1:6" ht="12" customHeight="1">
      <c r="A31" s="2" t="s">
        <v>204</v>
      </c>
      <c r="B31" s="49"/>
      <c r="C31" s="49">
        <v>11800</v>
      </c>
      <c r="D31" s="49">
        <v>12000</v>
      </c>
      <c r="E31" s="65">
        <f t="shared" si="1"/>
        <v>23800</v>
      </c>
      <c r="F31" s="55">
        <f t="shared" si="0"/>
        <v>4.145357266048403</v>
      </c>
    </row>
    <row r="32" spans="1:6" ht="12" customHeight="1">
      <c r="A32" s="2" t="s">
        <v>101</v>
      </c>
      <c r="B32" s="49">
        <v>12700</v>
      </c>
      <c r="C32" s="49"/>
      <c r="D32" s="49"/>
      <c r="E32" s="65">
        <f t="shared" si="1"/>
        <v>12700</v>
      </c>
      <c r="F32" s="55">
        <f t="shared" si="0"/>
        <v>2.212018373059441</v>
      </c>
    </row>
    <row r="33" spans="1:6" ht="12" customHeight="1">
      <c r="A33" s="2" t="s">
        <v>205</v>
      </c>
      <c r="B33" s="49">
        <f>-2400-4000</f>
        <v>-6400</v>
      </c>
      <c r="C33" s="49"/>
      <c r="D33" s="49"/>
      <c r="E33" s="65">
        <f>SUM(B33:D33)</f>
        <v>-6400</v>
      </c>
      <c r="F33" s="55">
        <f t="shared" si="0"/>
        <v>-1.1147179202819233</v>
      </c>
    </row>
    <row r="34" spans="1:6" ht="12" customHeight="1">
      <c r="A34" s="2" t="s">
        <v>207</v>
      </c>
      <c r="B34" s="49">
        <v>1000</v>
      </c>
      <c r="C34" s="49"/>
      <c r="D34" s="49"/>
      <c r="E34" s="65">
        <f t="shared" si="1"/>
        <v>1000</v>
      </c>
      <c r="F34" s="55">
        <f t="shared" si="0"/>
        <v>0.17417467504405051</v>
      </c>
    </row>
    <row r="35" spans="1:7" ht="12" customHeight="1">
      <c r="A35" s="2" t="s">
        <v>161</v>
      </c>
      <c r="B35" s="49">
        <v>5000</v>
      </c>
      <c r="C35" s="49"/>
      <c r="D35" s="49"/>
      <c r="E35" s="65">
        <f aca="true" t="shared" si="2" ref="E35:E52">SUM(B35:D35)</f>
        <v>5000</v>
      </c>
      <c r="F35" s="55">
        <f t="shared" si="0"/>
        <v>0.8708733752202525</v>
      </c>
      <c r="G35" s="22"/>
    </row>
    <row r="36" spans="1:7" ht="12" customHeight="1">
      <c r="A36" s="2" t="s">
        <v>288</v>
      </c>
      <c r="B36" s="49"/>
      <c r="C36" s="49">
        <v>6425</v>
      </c>
      <c r="D36" s="49"/>
      <c r="E36" s="65">
        <f t="shared" si="2"/>
        <v>6425</v>
      </c>
      <c r="F36" s="55">
        <f t="shared" si="0"/>
        <v>1.1190722871580245</v>
      </c>
      <c r="G36" s="22"/>
    </row>
    <row r="37" spans="1:7" ht="12" customHeight="1">
      <c r="A37" s="2" t="s">
        <v>209</v>
      </c>
      <c r="B37" s="49"/>
      <c r="C37" s="49">
        <v>3000</v>
      </c>
      <c r="D37" s="49">
        <v>3000</v>
      </c>
      <c r="E37" s="65">
        <f>SUM(B37:D37)</f>
        <v>6000</v>
      </c>
      <c r="F37" s="55">
        <f t="shared" si="0"/>
        <v>1.0450480502643031</v>
      </c>
      <c r="G37" s="22"/>
    </row>
    <row r="38" spans="1:7" ht="12" customHeight="1">
      <c r="A38" s="2" t="s">
        <v>185</v>
      </c>
      <c r="B38" s="49">
        <f>18400-800</f>
        <v>17600</v>
      </c>
      <c r="C38" s="49">
        <v>3350</v>
      </c>
      <c r="D38" s="49">
        <v>1400</v>
      </c>
      <c r="E38" s="65">
        <f t="shared" si="2"/>
        <v>22350</v>
      </c>
      <c r="F38" s="55">
        <f t="shared" si="0"/>
        <v>3.892803987234529</v>
      </c>
      <c r="G38" s="22"/>
    </row>
    <row r="39" spans="1:7" ht="12" customHeight="1">
      <c r="A39" s="2" t="s">
        <v>176</v>
      </c>
      <c r="B39" s="49">
        <v>3900</v>
      </c>
      <c r="C39" s="49">
        <v>1200</v>
      </c>
      <c r="D39" s="49"/>
      <c r="E39" s="65">
        <f t="shared" si="2"/>
        <v>5100</v>
      </c>
      <c r="F39" s="55">
        <f t="shared" si="0"/>
        <v>0.8882908427246576</v>
      </c>
      <c r="G39" s="22"/>
    </row>
    <row r="40" spans="1:7" ht="12" customHeight="1">
      <c r="A40" s="2" t="s">
        <v>331</v>
      </c>
      <c r="B40" s="49">
        <v>7878.58</v>
      </c>
      <c r="C40" s="49">
        <v>1350</v>
      </c>
      <c r="D40" s="49"/>
      <c r="E40" s="65">
        <f>SUM(B40:D40)</f>
        <v>9228.58</v>
      </c>
      <c r="F40" s="55">
        <f t="shared" si="0"/>
        <v>1.6073849226180235</v>
      </c>
      <c r="G40" s="22"/>
    </row>
    <row r="41" spans="1:6" ht="12" customHeight="1">
      <c r="A41" s="2" t="s">
        <v>210</v>
      </c>
      <c r="B41" s="49">
        <v>10000</v>
      </c>
      <c r="C41" s="49"/>
      <c r="D41" s="49"/>
      <c r="E41" s="65">
        <f t="shared" si="2"/>
        <v>10000</v>
      </c>
      <c r="F41" s="55">
        <f t="shared" si="0"/>
        <v>1.741746750440505</v>
      </c>
    </row>
    <row r="42" spans="1:6" ht="12" customHeight="1">
      <c r="A42" s="2" t="s">
        <v>294</v>
      </c>
      <c r="B42" s="49">
        <v>10000</v>
      </c>
      <c r="C42" s="49"/>
      <c r="D42" s="49"/>
      <c r="E42" s="65">
        <f>SUM(B42:D42)</f>
        <v>10000</v>
      </c>
      <c r="F42" s="55">
        <f t="shared" si="0"/>
        <v>1.741746750440505</v>
      </c>
    </row>
    <row r="43" spans="1:6" ht="12" customHeight="1">
      <c r="A43" s="2" t="s">
        <v>211</v>
      </c>
      <c r="B43" s="49"/>
      <c r="C43" s="49">
        <v>6000</v>
      </c>
      <c r="D43" s="49"/>
      <c r="E43" s="65">
        <f>SUM(B43:D43)</f>
        <v>6000</v>
      </c>
      <c r="F43" s="55">
        <f t="shared" si="0"/>
        <v>1.0450480502643031</v>
      </c>
    </row>
    <row r="44" spans="1:6" ht="12" customHeight="1">
      <c r="A44" s="2" t="s">
        <v>194</v>
      </c>
      <c r="B44" s="49">
        <v>14760</v>
      </c>
      <c r="C44" s="49"/>
      <c r="D44" s="49"/>
      <c r="E44" s="65">
        <f>SUM(B44:D44)</f>
        <v>14760</v>
      </c>
      <c r="F44" s="55">
        <f t="shared" si="0"/>
        <v>2.5708182036501857</v>
      </c>
    </row>
    <row r="45" spans="1:6" ht="12" customHeight="1">
      <c r="A45" s="2" t="s">
        <v>116</v>
      </c>
      <c r="B45" s="49">
        <v>27350</v>
      </c>
      <c r="C45" s="49"/>
      <c r="D45" s="49"/>
      <c r="E45" s="65">
        <f t="shared" si="2"/>
        <v>27350</v>
      </c>
      <c r="F45" s="55">
        <f t="shared" si="0"/>
        <v>4.763677362454781</v>
      </c>
    </row>
    <row r="46" spans="1:6" ht="12" customHeight="1">
      <c r="A46" s="2" t="s">
        <v>489</v>
      </c>
      <c r="B46" s="49">
        <v>3500</v>
      </c>
      <c r="C46" s="49"/>
      <c r="D46" s="49"/>
      <c r="E46" s="65">
        <f>SUM(B46:D46)</f>
        <v>3500</v>
      </c>
      <c r="F46" s="55">
        <f t="shared" si="0"/>
        <v>0.6096113626541767</v>
      </c>
    </row>
    <row r="47" spans="1:6" ht="12" customHeight="1">
      <c r="A47" s="2" t="s">
        <v>300</v>
      </c>
      <c r="B47" s="49">
        <v>4000</v>
      </c>
      <c r="C47" s="49">
        <v>10000</v>
      </c>
      <c r="D47" s="49">
        <v>3000</v>
      </c>
      <c r="E47" s="65">
        <f t="shared" si="2"/>
        <v>17000</v>
      </c>
      <c r="F47" s="55">
        <f t="shared" si="0"/>
        <v>2.960969475748859</v>
      </c>
    </row>
    <row r="48" spans="1:6" ht="12" customHeight="1">
      <c r="A48" s="2" t="s">
        <v>336</v>
      </c>
      <c r="B48" s="49">
        <v>8000</v>
      </c>
      <c r="C48" s="49"/>
      <c r="D48" s="49"/>
      <c r="E48" s="65">
        <f t="shared" si="2"/>
        <v>8000</v>
      </c>
      <c r="F48" s="55">
        <f t="shared" si="0"/>
        <v>1.3933974003524041</v>
      </c>
    </row>
    <row r="49" spans="1:6" ht="12" customHeight="1">
      <c r="A49" s="2" t="s">
        <v>106</v>
      </c>
      <c r="B49" s="49">
        <f>-3000</f>
        <v>-3000</v>
      </c>
      <c r="C49" s="49"/>
      <c r="D49" s="49"/>
      <c r="E49" s="65">
        <f>SUM(B49:D49)</f>
        <v>-3000</v>
      </c>
      <c r="F49" s="55">
        <f t="shared" si="0"/>
        <v>-0.5225240251321516</v>
      </c>
    </row>
    <row r="50" spans="1:6" ht="12" customHeight="1">
      <c r="A50" s="2" t="s">
        <v>107</v>
      </c>
      <c r="B50" s="49"/>
      <c r="C50" s="49"/>
      <c r="D50" s="49">
        <v>8340</v>
      </c>
      <c r="E50" s="65">
        <f t="shared" si="2"/>
        <v>8340</v>
      </c>
      <c r="F50" s="55">
        <f t="shared" si="0"/>
        <v>1.4526167898673812</v>
      </c>
    </row>
    <row r="51" spans="1:6" ht="12" customHeight="1">
      <c r="A51" s="2" t="s">
        <v>109</v>
      </c>
      <c r="B51" s="49">
        <v>5000</v>
      </c>
      <c r="C51" s="49"/>
      <c r="D51" s="49"/>
      <c r="E51" s="65">
        <f>SUM(B51:D51)</f>
        <v>5000</v>
      </c>
      <c r="F51" s="55">
        <f t="shared" si="0"/>
        <v>0.8708733752202525</v>
      </c>
    </row>
    <row r="52" spans="1:6" ht="12" customHeight="1">
      <c r="A52" s="2" t="s">
        <v>193</v>
      </c>
      <c r="B52" s="49">
        <v>6100.03</v>
      </c>
      <c r="C52" s="49"/>
      <c r="D52" s="49"/>
      <c r="E52" s="65">
        <f t="shared" si="2"/>
        <v>6100.03</v>
      </c>
      <c r="F52" s="55">
        <f t="shared" si="0"/>
        <v>1.0624707430089593</v>
      </c>
    </row>
    <row r="53" spans="2:6" ht="12" customHeight="1">
      <c r="B53" s="49"/>
      <c r="C53" s="49"/>
      <c r="D53" s="49"/>
      <c r="E53" s="65"/>
      <c r="F53" s="55"/>
    </row>
    <row r="54" spans="1:6" ht="12" customHeight="1">
      <c r="A54" s="7" t="s">
        <v>328</v>
      </c>
      <c r="B54" s="147">
        <f>SUM(B10:B53)</f>
        <v>227788.49</v>
      </c>
      <c r="C54" s="147">
        <f>SUM(C10:C53)</f>
        <v>149925</v>
      </c>
      <c r="D54" s="147">
        <f>SUM(D10:D53)</f>
        <v>72520.35</v>
      </c>
      <c r="E54" s="147">
        <f>SUM(E10:E53)</f>
        <v>450233.84</v>
      </c>
      <c r="F54" s="147">
        <f>SUM(F10:F53)</f>
        <v>78.41933277583502</v>
      </c>
    </row>
    <row r="55" spans="1:6" ht="12" customHeight="1">
      <c r="A55" s="2" t="s">
        <v>265</v>
      </c>
      <c r="B55" s="49">
        <v>2568</v>
      </c>
      <c r="C55" s="49">
        <v>19477.5</v>
      </c>
      <c r="D55" s="49"/>
      <c r="E55" s="65">
        <f aca="true" t="shared" si="3" ref="E55:E69">SUM(B55:D55)</f>
        <v>22045.5</v>
      </c>
      <c r="F55" s="55">
        <f aca="true" t="shared" si="4" ref="F55:F69">(E55/$E$73*100)</f>
        <v>3.8397677986836154</v>
      </c>
    </row>
    <row r="56" spans="1:6" ht="12" customHeight="1">
      <c r="A56" s="2" t="s">
        <v>110</v>
      </c>
      <c r="B56" s="49"/>
      <c r="C56" s="49">
        <v>3000</v>
      </c>
      <c r="D56" s="49"/>
      <c r="E56" s="65">
        <f t="shared" si="3"/>
        <v>3000</v>
      </c>
      <c r="F56" s="55">
        <f t="shared" si="4"/>
        <v>0.5225240251321516</v>
      </c>
    </row>
    <row r="57" spans="1:6" ht="12" customHeight="1">
      <c r="A57" s="2" t="s">
        <v>111</v>
      </c>
      <c r="B57" s="49">
        <f>3000-2500</f>
        <v>500</v>
      </c>
      <c r="C57" s="49">
        <f>18800-7.32</f>
        <v>18792.68</v>
      </c>
      <c r="D57" s="49"/>
      <c r="E57" s="65">
        <f t="shared" si="3"/>
        <v>19292.68</v>
      </c>
      <c r="F57" s="55">
        <f t="shared" si="4"/>
        <v>3.3602962697288525</v>
      </c>
    </row>
    <row r="58" spans="1:6" ht="12" customHeight="1">
      <c r="A58" s="2" t="s">
        <v>285</v>
      </c>
      <c r="B58" s="49">
        <v>3000</v>
      </c>
      <c r="C58" s="49"/>
      <c r="D58" s="49"/>
      <c r="E58" s="65">
        <f t="shared" si="3"/>
        <v>3000</v>
      </c>
      <c r="F58" s="55">
        <f t="shared" si="4"/>
        <v>0.5225240251321516</v>
      </c>
    </row>
    <row r="59" spans="1:7" ht="12" customHeight="1">
      <c r="A59" s="2" t="s">
        <v>280</v>
      </c>
      <c r="B59" s="49"/>
      <c r="C59" s="49">
        <v>2500</v>
      </c>
      <c r="D59" s="49"/>
      <c r="E59" s="65">
        <f t="shared" si="3"/>
        <v>2500</v>
      </c>
      <c r="F59" s="55">
        <f t="shared" si="4"/>
        <v>0.43543668761012627</v>
      </c>
      <c r="G59" s="22"/>
    </row>
    <row r="60" spans="1:7" ht="12" customHeight="1">
      <c r="A60" s="2" t="s">
        <v>266</v>
      </c>
      <c r="B60" s="49"/>
      <c r="C60" s="49">
        <v>14500</v>
      </c>
      <c r="D60" s="49">
        <v>7500</v>
      </c>
      <c r="E60" s="65">
        <f t="shared" si="3"/>
        <v>22000</v>
      </c>
      <c r="F60" s="55">
        <f t="shared" si="4"/>
        <v>3.831842850969111</v>
      </c>
      <c r="G60" s="22"/>
    </row>
    <row r="61" spans="1:7" ht="12" customHeight="1">
      <c r="A61" s="2" t="s">
        <v>341</v>
      </c>
      <c r="B61" s="49"/>
      <c r="C61" s="49">
        <v>4500</v>
      </c>
      <c r="D61" s="49"/>
      <c r="E61" s="65">
        <f t="shared" si="3"/>
        <v>4500</v>
      </c>
      <c r="F61" s="55">
        <f t="shared" si="4"/>
        <v>0.7837860376982272</v>
      </c>
      <c r="G61" s="22"/>
    </row>
    <row r="62" spans="1:7" ht="12" customHeight="1">
      <c r="A62" s="2" t="s">
        <v>114</v>
      </c>
      <c r="B62" s="49"/>
      <c r="C62" s="49"/>
      <c r="D62" s="49">
        <v>2500</v>
      </c>
      <c r="E62" s="65">
        <f t="shared" si="3"/>
        <v>2500</v>
      </c>
      <c r="F62" s="55">
        <f t="shared" si="4"/>
        <v>0.43543668761012627</v>
      </c>
      <c r="G62" s="22"/>
    </row>
    <row r="63" spans="1:7" ht="12" customHeight="1">
      <c r="A63" s="2" t="s">
        <v>117</v>
      </c>
      <c r="B63" s="49">
        <v>4000</v>
      </c>
      <c r="C63" s="49"/>
      <c r="D63" s="49">
        <v>5464.26</v>
      </c>
      <c r="E63" s="65">
        <f t="shared" si="3"/>
        <v>9464.26</v>
      </c>
      <c r="F63" s="55">
        <f t="shared" si="4"/>
        <v>1.6484344100324055</v>
      </c>
      <c r="G63" s="22"/>
    </row>
    <row r="64" spans="1:7" ht="12" customHeight="1">
      <c r="A64" s="2" t="s">
        <v>407</v>
      </c>
      <c r="B64" s="49">
        <v>5000</v>
      </c>
      <c r="C64" s="49"/>
      <c r="D64" s="49"/>
      <c r="E64" s="65">
        <f t="shared" si="3"/>
        <v>5000</v>
      </c>
      <c r="F64" s="55">
        <f t="shared" si="4"/>
        <v>0.8708733752202525</v>
      </c>
      <c r="G64" s="22"/>
    </row>
    <row r="65" spans="1:7" ht="12.75" customHeight="1">
      <c r="A65" s="2" t="s">
        <v>192</v>
      </c>
      <c r="B65" s="49"/>
      <c r="C65" s="49">
        <v>1600</v>
      </c>
      <c r="D65" s="49">
        <v>1000</v>
      </c>
      <c r="E65" s="65">
        <f t="shared" si="3"/>
        <v>2600</v>
      </c>
      <c r="F65" s="55">
        <f t="shared" si="4"/>
        <v>0.4528541551145313</v>
      </c>
      <c r="G65" s="22"/>
    </row>
    <row r="66" spans="1:7" ht="12" customHeight="1">
      <c r="A66" s="2" t="s">
        <v>409</v>
      </c>
      <c r="B66" s="49">
        <v>2000</v>
      </c>
      <c r="C66" s="49"/>
      <c r="D66" s="49"/>
      <c r="E66" s="65">
        <f t="shared" si="3"/>
        <v>2000</v>
      </c>
      <c r="F66" s="55">
        <f t="shared" si="4"/>
        <v>0.34834935008810103</v>
      </c>
      <c r="G66" s="22"/>
    </row>
    <row r="67" spans="1:7" ht="12" customHeight="1">
      <c r="A67" s="2" t="s">
        <v>119</v>
      </c>
      <c r="B67" s="49">
        <v>20000</v>
      </c>
      <c r="C67" s="49"/>
      <c r="D67" s="49"/>
      <c r="E67" s="65">
        <f t="shared" si="3"/>
        <v>20000</v>
      </c>
      <c r="F67" s="55">
        <f t="shared" si="4"/>
        <v>3.48349350088101</v>
      </c>
      <c r="G67" s="22"/>
    </row>
    <row r="68" spans="1:7" ht="12" customHeight="1">
      <c r="A68" s="2" t="s">
        <v>137</v>
      </c>
      <c r="B68" s="49"/>
      <c r="C68" s="49">
        <v>3000</v>
      </c>
      <c r="D68" s="49"/>
      <c r="E68" s="65">
        <f t="shared" si="3"/>
        <v>3000</v>
      </c>
      <c r="F68" s="55">
        <f t="shared" si="4"/>
        <v>0.5225240251321516</v>
      </c>
      <c r="G68" s="22"/>
    </row>
    <row r="69" spans="1:7" ht="12" customHeight="1">
      <c r="A69" s="2" t="s">
        <v>215</v>
      </c>
      <c r="B69" s="49"/>
      <c r="C69" s="49"/>
      <c r="D69" s="49">
        <v>3000</v>
      </c>
      <c r="E69" s="65">
        <f t="shared" si="3"/>
        <v>3000</v>
      </c>
      <c r="F69" s="55">
        <f t="shared" si="4"/>
        <v>0.5225240251321516</v>
      </c>
      <c r="G69" s="22"/>
    </row>
    <row r="70" spans="2:7" ht="7.5" customHeight="1">
      <c r="B70" s="49"/>
      <c r="C70" s="49"/>
      <c r="D70" s="49"/>
      <c r="E70" s="65"/>
      <c r="F70" s="55"/>
      <c r="G70" s="22"/>
    </row>
    <row r="71" spans="1:7" ht="12" customHeight="1">
      <c r="A71" s="7" t="str">
        <f>A54</f>
        <v>S u b t o t a l</v>
      </c>
      <c r="B71" s="162">
        <f>SUM(B55:B70)</f>
        <v>37068</v>
      </c>
      <c r="C71" s="162">
        <f>SUM(C55:C70)</f>
        <v>67370.18</v>
      </c>
      <c r="D71" s="162">
        <f>SUM(D55:D70)</f>
        <v>19464.260000000002</v>
      </c>
      <c r="E71" s="162">
        <f>SUM(E55:E70)</f>
        <v>123902.43999999999</v>
      </c>
      <c r="F71" s="162">
        <f>SUM(F55:F70)</f>
        <v>21.58066722416497</v>
      </c>
      <c r="G71" s="22"/>
    </row>
    <row r="72" spans="2:7" ht="12" customHeight="1">
      <c r="B72" s="49"/>
      <c r="C72" s="49"/>
      <c r="D72" s="49"/>
      <c r="E72" s="65"/>
      <c r="F72" s="55"/>
      <c r="G72" s="22"/>
    </row>
    <row r="73" spans="1:6" ht="13.5" thickBot="1">
      <c r="A73" s="7" t="s">
        <v>140</v>
      </c>
      <c r="B73" s="157">
        <f>B54+B71</f>
        <v>264856.49</v>
      </c>
      <c r="C73" s="157">
        <f>C54+C71</f>
        <v>217295.18</v>
      </c>
      <c r="D73" s="157">
        <f>D54+D71</f>
        <v>91984.61000000002</v>
      </c>
      <c r="E73" s="157">
        <f>E54+E71</f>
        <v>574136.28</v>
      </c>
      <c r="F73" s="158">
        <f>F54+F71</f>
        <v>99.99999999999999</v>
      </c>
    </row>
    <row r="74" ht="13.5" thickTop="1"/>
    <row r="75" spans="2:4" ht="12.75">
      <c r="B75" s="154"/>
      <c r="C75" s="154"/>
      <c r="D75" s="35"/>
    </row>
    <row r="77" spans="2:4" ht="12.75">
      <c r="B77" s="35"/>
      <c r="C77" s="35"/>
      <c r="D77" s="35"/>
    </row>
    <row r="81" ht="12.75">
      <c r="D81" s="155"/>
    </row>
    <row r="84" ht="12.75">
      <c r="D84" s="155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984251968503937" bottom="0.984251968503937" header="0" footer="0"/>
  <pageSetup horizontalDpi="600" verticalDpi="600" orientation="portrait" r:id="rId1"/>
  <headerFooter alignWithMargins="0"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19">
      <selection activeCell="F53" sqref="F53"/>
    </sheetView>
  </sheetViews>
  <sheetFormatPr defaultColWidth="9.140625" defaultRowHeight="12.75"/>
  <cols>
    <col min="1" max="1" width="37.28125" style="2" customWidth="1"/>
    <col min="2" max="2" width="11.421875" style="33" customWidth="1"/>
    <col min="3" max="3" width="11.28125" style="33" customWidth="1"/>
    <col min="4" max="4" width="10.28125" style="33" customWidth="1"/>
    <col min="5" max="5" width="12.00390625" style="33" bestFit="1" customWidth="1"/>
    <col min="6" max="6" width="6.8515625" style="2" bestFit="1" customWidth="1"/>
    <col min="7" max="16384" width="11.421875" style="2" customWidth="1"/>
  </cols>
  <sheetData>
    <row r="1" spans="5:6" ht="13.5" thickBot="1">
      <c r="E1" s="275" t="s">
        <v>168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228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spans="2:5" ht="8.25" customHeight="1" thickBot="1">
      <c r="B6" s="2"/>
      <c r="C6" s="2"/>
      <c r="D6" s="2"/>
      <c r="E6" s="2"/>
    </row>
    <row r="7" spans="1:6" ht="12.75">
      <c r="A7" s="94"/>
      <c r="B7" s="94"/>
      <c r="C7" s="94"/>
      <c r="D7" s="94"/>
      <c r="E7" s="94"/>
      <c r="F7" s="95"/>
    </row>
    <row r="8" spans="1:6" ht="12.75">
      <c r="A8" s="96" t="s">
        <v>21</v>
      </c>
      <c r="B8" s="97" t="s">
        <v>478</v>
      </c>
      <c r="C8" s="97" t="s">
        <v>479</v>
      </c>
      <c r="D8" s="97" t="s">
        <v>499</v>
      </c>
      <c r="E8" s="96" t="s">
        <v>22</v>
      </c>
      <c r="F8" s="98" t="s">
        <v>23</v>
      </c>
    </row>
    <row r="9" spans="1:6" ht="13.5" thickBot="1">
      <c r="A9" s="99"/>
      <c r="B9" s="99"/>
      <c r="C9" s="99"/>
      <c r="D9" s="99"/>
      <c r="E9" s="99"/>
      <c r="F9" s="100"/>
    </row>
    <row r="10" spans="1:6" ht="6" customHeight="1">
      <c r="A10" s="3"/>
      <c r="B10" s="34"/>
      <c r="C10" s="34"/>
      <c r="D10" s="48"/>
      <c r="E10" s="34"/>
      <c r="F10" s="3"/>
    </row>
    <row r="11" spans="1:6" ht="12.75">
      <c r="A11" s="9" t="s">
        <v>202</v>
      </c>
      <c r="B11" s="35">
        <f>22000-113850</f>
        <v>-91850</v>
      </c>
      <c r="C11" s="35">
        <v>113850</v>
      </c>
      <c r="D11" s="48"/>
      <c r="E11" s="35">
        <f aca="true" t="shared" si="0" ref="E11:E37">SUM(B11:D11)</f>
        <v>22000</v>
      </c>
      <c r="F11" s="54">
        <f aca="true" t="shared" si="1" ref="F11:F51">(E11/$E$137*100)</f>
        <v>0.09610697778832233</v>
      </c>
    </row>
    <row r="12" spans="1:6" ht="12.75">
      <c r="A12" s="2" t="s">
        <v>99</v>
      </c>
      <c r="B12" s="35">
        <v>3200</v>
      </c>
      <c r="C12" s="35"/>
      <c r="D12" s="48"/>
      <c r="E12" s="35">
        <f>SUM(B12:D12)</f>
        <v>3200</v>
      </c>
      <c r="F12" s="54">
        <f t="shared" si="1"/>
        <v>0.013979196769210521</v>
      </c>
    </row>
    <row r="13" spans="1:6" ht="12.75">
      <c r="A13" s="2" t="s">
        <v>223</v>
      </c>
      <c r="B13" s="35"/>
      <c r="C13" s="35">
        <v>127000</v>
      </c>
      <c r="D13" s="48">
        <v>75280</v>
      </c>
      <c r="E13" s="35">
        <f>SUM(B13:D13)</f>
        <v>202280</v>
      </c>
      <c r="F13" s="54">
        <f t="shared" si="1"/>
        <v>0.88365997577372</v>
      </c>
    </row>
    <row r="14" spans="1:6" ht="12.75">
      <c r="A14" s="2" t="s">
        <v>121</v>
      </c>
      <c r="B14" s="35">
        <v>779936.73</v>
      </c>
      <c r="C14" s="35">
        <v>725914.22</v>
      </c>
      <c r="D14" s="48">
        <v>254231</v>
      </c>
      <c r="E14" s="35">
        <f t="shared" si="0"/>
        <v>1760081.95</v>
      </c>
      <c r="F14" s="54">
        <f t="shared" si="1"/>
        <v>7.688916221558048</v>
      </c>
    </row>
    <row r="15" spans="1:6" ht="12.75">
      <c r="A15" s="2" t="s">
        <v>122</v>
      </c>
      <c r="B15" s="35">
        <v>93500</v>
      </c>
      <c r="C15" s="35">
        <v>65200</v>
      </c>
      <c r="D15" s="48">
        <v>109600</v>
      </c>
      <c r="E15" s="35">
        <f t="shared" si="0"/>
        <v>268300</v>
      </c>
      <c r="F15" s="54">
        <f t="shared" si="1"/>
        <v>1.1720682791184944</v>
      </c>
    </row>
    <row r="16" spans="1:6" ht="12.75">
      <c r="A16" s="2" t="s">
        <v>406</v>
      </c>
      <c r="B16" s="35">
        <v>638682.23</v>
      </c>
      <c r="C16" s="35">
        <v>1154265.63</v>
      </c>
      <c r="D16" s="48">
        <v>116565.36</v>
      </c>
      <c r="E16" s="35">
        <f t="shared" si="0"/>
        <v>1909513.22</v>
      </c>
      <c r="F16" s="54">
        <f t="shared" si="1"/>
        <v>8.341706573683993</v>
      </c>
    </row>
    <row r="17" spans="1:6" ht="12.75">
      <c r="A17" s="2" t="s">
        <v>264</v>
      </c>
      <c r="B17" s="35">
        <v>993278.48</v>
      </c>
      <c r="C17" s="35">
        <v>460077.12</v>
      </c>
      <c r="D17" s="48">
        <v>100000</v>
      </c>
      <c r="E17" s="35">
        <f t="shared" si="0"/>
        <v>1553355.6</v>
      </c>
      <c r="F17" s="54">
        <f t="shared" si="1"/>
        <v>6.7858323702984595</v>
      </c>
    </row>
    <row r="18" spans="1:6" ht="12.75">
      <c r="A18" s="2" t="s">
        <v>408</v>
      </c>
      <c r="B18" s="35">
        <v>60000</v>
      </c>
      <c r="C18" s="35">
        <v>30000</v>
      </c>
      <c r="D18" s="48">
        <v>30000</v>
      </c>
      <c r="E18" s="35">
        <f t="shared" si="0"/>
        <v>120000</v>
      </c>
      <c r="F18" s="54">
        <f t="shared" si="1"/>
        <v>0.5242198788453946</v>
      </c>
    </row>
    <row r="19" spans="1:6" ht="12.75">
      <c r="A19" s="2" t="s">
        <v>209</v>
      </c>
      <c r="B19" s="35">
        <v>8880</v>
      </c>
      <c r="C19" s="35"/>
      <c r="D19" s="48">
        <v>2960</v>
      </c>
      <c r="E19" s="35">
        <f t="shared" si="0"/>
        <v>11840</v>
      </c>
      <c r="F19" s="54">
        <f t="shared" si="1"/>
        <v>0.05172302804607893</v>
      </c>
    </row>
    <row r="20" spans="1:6" ht="12.75">
      <c r="A20" s="2" t="s">
        <v>405</v>
      </c>
      <c r="B20" s="35">
        <f>-10577-29288-69460.5-19966.5-19670-2763-10000-24240</f>
        <v>-185965</v>
      </c>
      <c r="C20" s="35"/>
      <c r="D20" s="48"/>
      <c r="E20" s="35">
        <f t="shared" si="0"/>
        <v>-185965</v>
      </c>
      <c r="F20" s="54">
        <f t="shared" si="1"/>
        <v>-0.8123879147456983</v>
      </c>
    </row>
    <row r="21" spans="1:6" ht="12.75">
      <c r="A21" s="2" t="s">
        <v>210</v>
      </c>
      <c r="B21" s="35">
        <v>38339.5</v>
      </c>
      <c r="C21" s="35">
        <v>83257.5</v>
      </c>
      <c r="D21" s="48"/>
      <c r="E21" s="35">
        <f t="shared" si="0"/>
        <v>121597</v>
      </c>
      <c r="F21" s="54">
        <f t="shared" si="1"/>
        <v>0.5311963717330287</v>
      </c>
    </row>
    <row r="22" spans="1:6" ht="12.75">
      <c r="A22" s="2" t="s">
        <v>294</v>
      </c>
      <c r="B22" s="35">
        <v>60000</v>
      </c>
      <c r="C22" s="35">
        <v>20000</v>
      </c>
      <c r="D22" s="48"/>
      <c r="E22" s="35">
        <f t="shared" si="0"/>
        <v>80000</v>
      </c>
      <c r="F22" s="54">
        <f t="shared" si="1"/>
        <v>0.349479919230263</v>
      </c>
    </row>
    <row r="23" spans="1:6" ht="12.75">
      <c r="A23" s="2" t="s">
        <v>212</v>
      </c>
      <c r="B23" s="35">
        <v>44600</v>
      </c>
      <c r="C23" s="35">
        <v>67540</v>
      </c>
      <c r="D23" s="48">
        <v>59904</v>
      </c>
      <c r="E23" s="35">
        <f t="shared" si="0"/>
        <v>172044</v>
      </c>
      <c r="F23" s="54">
        <f t="shared" si="1"/>
        <v>0.7515740403006421</v>
      </c>
    </row>
    <row r="24" spans="1:6" ht="12.75">
      <c r="A24" s="2" t="s">
        <v>194</v>
      </c>
      <c r="B24" s="35">
        <v>139380.06</v>
      </c>
      <c r="C24" s="35">
        <v>171749.6</v>
      </c>
      <c r="D24" s="48">
        <v>139487.6</v>
      </c>
      <c r="E24" s="35">
        <f t="shared" si="0"/>
        <v>450617.26</v>
      </c>
      <c r="F24" s="54">
        <f t="shared" si="1"/>
        <v>1.9685210453570305</v>
      </c>
    </row>
    <row r="25" spans="1:6" ht="12.75">
      <c r="A25" s="2" t="s">
        <v>495</v>
      </c>
      <c r="B25" s="35"/>
      <c r="C25" s="35">
        <v>9250</v>
      </c>
      <c r="D25" s="48"/>
      <c r="E25" s="35">
        <f>SUM(B25:D25)</f>
        <v>9250</v>
      </c>
      <c r="F25" s="54">
        <f t="shared" si="1"/>
        <v>0.04040861566099916</v>
      </c>
    </row>
    <row r="26" spans="1:6" ht="12.75">
      <c r="A26" s="2" t="s">
        <v>116</v>
      </c>
      <c r="B26" s="35">
        <v>180000</v>
      </c>
      <c r="C26" s="35">
        <v>100000</v>
      </c>
      <c r="D26" s="48"/>
      <c r="E26" s="35">
        <f t="shared" si="0"/>
        <v>280000</v>
      </c>
      <c r="F26" s="54">
        <f t="shared" si="1"/>
        <v>1.2231797173059205</v>
      </c>
    </row>
    <row r="27" spans="1:6" ht="12.75">
      <c r="A27" s="2" t="s">
        <v>251</v>
      </c>
      <c r="B27" s="35"/>
      <c r="C27" s="35"/>
      <c r="D27" s="48">
        <v>20000</v>
      </c>
      <c r="E27" s="35">
        <f>SUM(B27:D27)</f>
        <v>20000</v>
      </c>
      <c r="F27" s="54">
        <f t="shared" si="1"/>
        <v>0.08736997980756575</v>
      </c>
    </row>
    <row r="28" spans="1:6" ht="12.75">
      <c r="A28" s="2" t="s">
        <v>123</v>
      </c>
      <c r="B28" s="35">
        <v>28700</v>
      </c>
      <c r="C28" s="35">
        <v>70000</v>
      </c>
      <c r="D28" s="48"/>
      <c r="E28" s="35">
        <f t="shared" si="0"/>
        <v>98700</v>
      </c>
      <c r="F28" s="54">
        <f t="shared" si="1"/>
        <v>0.43117085035033703</v>
      </c>
    </row>
    <row r="29" spans="1:6" ht="12.75">
      <c r="A29" s="2" t="s">
        <v>334</v>
      </c>
      <c r="B29" s="35">
        <v>454400</v>
      </c>
      <c r="C29" s="35">
        <v>150000</v>
      </c>
      <c r="D29" s="48">
        <v>330000</v>
      </c>
      <c r="E29" s="35">
        <f t="shared" si="0"/>
        <v>934400</v>
      </c>
      <c r="F29" s="54">
        <f t="shared" si="1"/>
        <v>4.081925456609472</v>
      </c>
    </row>
    <row r="30" spans="1:6" ht="12.75">
      <c r="A30" s="2" t="s">
        <v>335</v>
      </c>
      <c r="B30" s="35">
        <v>100000</v>
      </c>
      <c r="C30" s="35">
        <v>209000</v>
      </c>
      <c r="D30" s="48">
        <v>19715</v>
      </c>
      <c r="E30" s="35">
        <f t="shared" si="0"/>
        <v>328715</v>
      </c>
      <c r="F30" s="54">
        <f t="shared" si="1"/>
        <v>1.4359911456221988</v>
      </c>
    </row>
    <row r="31" spans="1:6" ht="12.75">
      <c r="A31" s="2" t="s">
        <v>336</v>
      </c>
      <c r="B31" s="35">
        <f>193452.95-5000</f>
        <v>188452.95</v>
      </c>
      <c r="C31" s="35">
        <v>117526</v>
      </c>
      <c r="D31" s="48"/>
      <c r="E31" s="35">
        <f t="shared" si="0"/>
        <v>305978.95</v>
      </c>
      <c r="F31" s="54">
        <f t="shared" si="1"/>
        <v>1.3366687341520085</v>
      </c>
    </row>
    <row r="32" spans="1:6" ht="12.75">
      <c r="A32" s="2" t="s">
        <v>106</v>
      </c>
      <c r="B32" s="35">
        <f>360000-305221.5</f>
        <v>54778.5</v>
      </c>
      <c r="C32" s="35">
        <v>400000</v>
      </c>
      <c r="D32" s="48">
        <v>350000</v>
      </c>
      <c r="E32" s="35">
        <f t="shared" si="0"/>
        <v>804778.5</v>
      </c>
      <c r="F32" s="54">
        <f t="shared" si="1"/>
        <v>3.5156740647281524</v>
      </c>
    </row>
    <row r="33" spans="1:6" ht="12.75">
      <c r="A33" s="2" t="s">
        <v>107</v>
      </c>
      <c r="B33" s="35">
        <f>539124.85-10000</f>
        <v>529124.85</v>
      </c>
      <c r="C33" s="35">
        <f>691032.65+49906.55</f>
        <v>740939.2000000001</v>
      </c>
      <c r="D33" s="48">
        <v>108259.79</v>
      </c>
      <c r="E33" s="35">
        <f t="shared" si="0"/>
        <v>1378323.84</v>
      </c>
      <c r="F33" s="54">
        <f t="shared" si="1"/>
        <v>6.021206303454325</v>
      </c>
    </row>
    <row r="34" spans="1:6" ht="12.75">
      <c r="A34" s="2" t="s">
        <v>337</v>
      </c>
      <c r="B34" s="35"/>
      <c r="C34" s="35">
        <v>500000</v>
      </c>
      <c r="D34" s="48">
        <v>50000</v>
      </c>
      <c r="E34" s="35">
        <f t="shared" si="0"/>
        <v>550000</v>
      </c>
      <c r="F34" s="54">
        <f t="shared" si="1"/>
        <v>2.402674444708058</v>
      </c>
    </row>
    <row r="35" spans="1:6" ht="12.75">
      <c r="A35" s="2" t="s">
        <v>109</v>
      </c>
      <c r="B35" s="35">
        <v>100000</v>
      </c>
      <c r="C35" s="35">
        <f>70000+20000</f>
        <v>90000</v>
      </c>
      <c r="D35" s="48"/>
      <c r="E35" s="35">
        <f>SUM(B35:D35)</f>
        <v>190000</v>
      </c>
      <c r="F35" s="54">
        <f t="shared" si="1"/>
        <v>0.8300148081718747</v>
      </c>
    </row>
    <row r="36" spans="1:6" ht="12.75">
      <c r="A36" s="2" t="s">
        <v>338</v>
      </c>
      <c r="B36" s="35">
        <v>49400</v>
      </c>
      <c r="C36" s="35">
        <v>133350</v>
      </c>
      <c r="D36" s="48">
        <v>60000</v>
      </c>
      <c r="E36" s="35">
        <f t="shared" si="0"/>
        <v>242750</v>
      </c>
      <c r="F36" s="54">
        <f t="shared" si="1"/>
        <v>1.0604531299143294</v>
      </c>
    </row>
    <row r="37" spans="1:6" ht="12.75">
      <c r="A37" s="2" t="s">
        <v>193</v>
      </c>
      <c r="B37" s="35">
        <v>29600</v>
      </c>
      <c r="C37" s="35">
        <v>75200</v>
      </c>
      <c r="D37" s="48"/>
      <c r="E37" s="35">
        <f t="shared" si="0"/>
        <v>104800</v>
      </c>
      <c r="F37" s="54">
        <f t="shared" si="1"/>
        <v>0.45781869419164456</v>
      </c>
    </row>
    <row r="38" spans="1:6" ht="12.75">
      <c r="A38" s="2" t="s">
        <v>108</v>
      </c>
      <c r="B38" s="35">
        <v>20000</v>
      </c>
      <c r="C38" s="35">
        <v>40000</v>
      </c>
      <c r="D38" s="48"/>
      <c r="E38" s="35">
        <f>SUM(B38:D38)</f>
        <v>60000</v>
      </c>
      <c r="F38" s="54">
        <f t="shared" si="1"/>
        <v>0.2621099394226973</v>
      </c>
    </row>
    <row r="39" spans="1:6" ht="12.75">
      <c r="A39" s="2" t="s">
        <v>339</v>
      </c>
      <c r="B39" s="35">
        <v>69000</v>
      </c>
      <c r="C39" s="35">
        <v>164575</v>
      </c>
      <c r="D39" s="48">
        <v>75000</v>
      </c>
      <c r="E39" s="35">
        <f aca="true" t="shared" si="2" ref="E39:E51">SUM(B39:D39)</f>
        <v>308575</v>
      </c>
      <c r="F39" s="54">
        <f t="shared" si="1"/>
        <v>1.34800957595598</v>
      </c>
    </row>
    <row r="40" spans="1:6" ht="12.75">
      <c r="A40" s="2" t="s">
        <v>265</v>
      </c>
      <c r="B40" s="35"/>
      <c r="C40" s="35">
        <v>118950</v>
      </c>
      <c r="D40" s="48">
        <v>150000</v>
      </c>
      <c r="E40" s="35">
        <f t="shared" si="2"/>
        <v>268950</v>
      </c>
      <c r="F40" s="54">
        <f t="shared" si="1"/>
        <v>1.1749078034622404</v>
      </c>
    </row>
    <row r="41" spans="1:6" ht="12.75">
      <c r="A41" s="2" t="s">
        <v>110</v>
      </c>
      <c r="B41" s="35"/>
      <c r="C41" s="35">
        <v>100000</v>
      </c>
      <c r="D41" s="48"/>
      <c r="E41" s="35">
        <f t="shared" si="2"/>
        <v>100000</v>
      </c>
      <c r="F41" s="54">
        <f t="shared" si="1"/>
        <v>0.4368498990378287</v>
      </c>
    </row>
    <row r="42" spans="1:6" ht="12.75">
      <c r="A42" s="2" t="s">
        <v>111</v>
      </c>
      <c r="B42" s="35">
        <v>109795</v>
      </c>
      <c r="C42" s="35">
        <f>149540.33-41897.64</f>
        <v>107642.68999999999</v>
      </c>
      <c r="D42" s="48">
        <v>80000</v>
      </c>
      <c r="E42" s="35">
        <f t="shared" si="2"/>
        <v>297437.69</v>
      </c>
      <c r="F42" s="54">
        <f t="shared" si="1"/>
        <v>1.2993562484654502</v>
      </c>
    </row>
    <row r="43" spans="1:6" ht="12.75">
      <c r="A43" s="2" t="s">
        <v>497</v>
      </c>
      <c r="B43" s="35"/>
      <c r="C43" s="35"/>
      <c r="D43" s="48">
        <v>50000</v>
      </c>
      <c r="E43" s="35">
        <f>SUM(B43:D43)</f>
        <v>50000</v>
      </c>
      <c r="F43" s="54">
        <f t="shared" si="1"/>
        <v>0.21842494951891436</v>
      </c>
    </row>
    <row r="44" spans="1:6" ht="12.75">
      <c r="A44" s="2" t="s">
        <v>285</v>
      </c>
      <c r="B44" s="35">
        <v>26437.36</v>
      </c>
      <c r="C44" s="35">
        <v>38937.36</v>
      </c>
      <c r="D44" s="48"/>
      <c r="E44" s="35">
        <f t="shared" si="2"/>
        <v>65374.72</v>
      </c>
      <c r="F44" s="54">
        <f t="shared" si="1"/>
        <v>0.28558939831626323</v>
      </c>
    </row>
    <row r="45" spans="1:6" ht="12.75">
      <c r="A45" s="2" t="s">
        <v>214</v>
      </c>
      <c r="B45" s="35">
        <v>54000</v>
      </c>
      <c r="C45" s="35">
        <v>85000</v>
      </c>
      <c r="D45" s="48"/>
      <c r="E45" s="35">
        <f t="shared" si="2"/>
        <v>139000</v>
      </c>
      <c r="F45" s="54">
        <f t="shared" si="1"/>
        <v>0.607221359662582</v>
      </c>
    </row>
    <row r="46" spans="1:6" ht="12.75">
      <c r="A46" s="2" t="s">
        <v>112</v>
      </c>
      <c r="B46" s="35">
        <v>30000</v>
      </c>
      <c r="C46" s="35">
        <v>149000</v>
      </c>
      <c r="D46" s="48">
        <f>60000</f>
        <v>60000</v>
      </c>
      <c r="E46" s="35">
        <f t="shared" si="2"/>
        <v>239000</v>
      </c>
      <c r="F46" s="54">
        <f t="shared" si="1"/>
        <v>1.0440712587004108</v>
      </c>
    </row>
    <row r="47" spans="1:6" ht="12.75">
      <c r="A47" s="2" t="s">
        <v>124</v>
      </c>
      <c r="B47" s="35">
        <f>60000-80730</f>
        <v>-20730</v>
      </c>
      <c r="C47" s="35">
        <v>40000</v>
      </c>
      <c r="D47" s="48">
        <v>80000</v>
      </c>
      <c r="E47" s="35">
        <f t="shared" si="2"/>
        <v>99270</v>
      </c>
      <c r="F47" s="54">
        <f t="shared" si="1"/>
        <v>0.4336608947748526</v>
      </c>
    </row>
    <row r="48" spans="1:6" ht="12.75">
      <c r="A48" s="2" t="s">
        <v>273</v>
      </c>
      <c r="B48" s="35">
        <v>100000</v>
      </c>
      <c r="C48" s="35">
        <v>100000</v>
      </c>
      <c r="D48" s="48"/>
      <c r="E48" s="35">
        <f t="shared" si="2"/>
        <v>200000</v>
      </c>
      <c r="F48" s="54">
        <f t="shared" si="1"/>
        <v>0.8736997980756575</v>
      </c>
    </row>
    <row r="49" spans="1:6" ht="12.75">
      <c r="A49" s="2" t="s">
        <v>340</v>
      </c>
      <c r="B49" s="35">
        <v>33500</v>
      </c>
      <c r="C49" s="35">
        <f>69950+40000</f>
        <v>109950</v>
      </c>
      <c r="D49" s="48">
        <f>-40000</f>
        <v>-40000</v>
      </c>
      <c r="E49" s="35">
        <f t="shared" si="2"/>
        <v>103450</v>
      </c>
      <c r="F49" s="54">
        <f t="shared" si="1"/>
        <v>0.45192122055463385</v>
      </c>
    </row>
    <row r="50" spans="1:6" ht="12.75">
      <c r="A50" s="2" t="s">
        <v>266</v>
      </c>
      <c r="B50" s="35">
        <v>15000</v>
      </c>
      <c r="C50" s="35">
        <v>70000</v>
      </c>
      <c r="D50" s="48"/>
      <c r="E50" s="35">
        <f t="shared" si="2"/>
        <v>85000</v>
      </c>
      <c r="F50" s="54">
        <f t="shared" si="1"/>
        <v>0.37132241418215445</v>
      </c>
    </row>
    <row r="51" spans="1:6" ht="12.75">
      <c r="A51" s="2" t="s">
        <v>270</v>
      </c>
      <c r="B51" s="35">
        <v>100000</v>
      </c>
      <c r="C51" s="35">
        <v>233800</v>
      </c>
      <c r="D51" s="48"/>
      <c r="E51" s="35">
        <f t="shared" si="2"/>
        <v>333800</v>
      </c>
      <c r="F51" s="54">
        <f t="shared" si="1"/>
        <v>1.4582049629882723</v>
      </c>
    </row>
    <row r="52" spans="2:6" ht="12.75">
      <c r="B52" s="35"/>
      <c r="C52" s="35"/>
      <c r="D52" s="48"/>
      <c r="E52" s="35"/>
      <c r="F52" s="54"/>
    </row>
    <row r="53" spans="1:6" ht="12.75">
      <c r="A53" s="7" t="s">
        <v>328</v>
      </c>
      <c r="B53" s="156">
        <f>SUM(B11:B52)</f>
        <v>4833440.660000001</v>
      </c>
      <c r="C53" s="156">
        <f>SUM(C11:C52)</f>
        <v>6971974.32</v>
      </c>
      <c r="D53" s="156">
        <f>SUM(D11:D52)</f>
        <v>2281002.75</v>
      </c>
      <c r="E53" s="156">
        <f>SUM(E11:E52)</f>
        <v>14086417.729999999</v>
      </c>
      <c r="F53" s="198">
        <f>SUM(F11:F52)</f>
        <v>61.53650163155181</v>
      </c>
    </row>
    <row r="54" spans="2:6" ht="13.5" thickBot="1">
      <c r="B54" s="35"/>
      <c r="C54" s="35"/>
      <c r="D54" s="48"/>
      <c r="E54" s="275" t="s">
        <v>168</v>
      </c>
      <c r="F54" s="275"/>
    </row>
    <row r="55" spans="1:6" ht="15">
      <c r="A55" s="261" t="s">
        <v>19</v>
      </c>
      <c r="B55" s="262"/>
      <c r="C55" s="262"/>
      <c r="D55" s="262"/>
      <c r="E55" s="262"/>
      <c r="F55" s="263"/>
    </row>
    <row r="56" spans="1:6" ht="15">
      <c r="A56" s="264" t="s">
        <v>20</v>
      </c>
      <c r="B56" s="265"/>
      <c r="C56" s="265"/>
      <c r="D56" s="265"/>
      <c r="E56" s="265"/>
      <c r="F56" s="266"/>
    </row>
    <row r="57" spans="1:6" ht="15">
      <c r="A57" s="267" t="s">
        <v>228</v>
      </c>
      <c r="B57" s="268"/>
      <c r="C57" s="268"/>
      <c r="D57" s="268"/>
      <c r="E57" s="268"/>
      <c r="F57" s="269"/>
    </row>
    <row r="58" spans="1:6" ht="15.75" thickBot="1">
      <c r="A58" s="270" t="s">
        <v>500</v>
      </c>
      <c r="B58" s="271"/>
      <c r="C58" s="271"/>
      <c r="D58" s="271"/>
      <c r="E58" s="271"/>
      <c r="F58" s="272"/>
    </row>
    <row r="59" spans="2:5" ht="8.25" customHeight="1" thickBot="1">
      <c r="B59" s="2"/>
      <c r="C59" s="2"/>
      <c r="D59" s="2"/>
      <c r="E59" s="2"/>
    </row>
    <row r="60" spans="1:6" ht="12.75">
      <c r="A60" s="94"/>
      <c r="B60" s="94"/>
      <c r="C60" s="94"/>
      <c r="D60" s="94"/>
      <c r="E60" s="94"/>
      <c r="F60" s="95"/>
    </row>
    <row r="61" spans="1:6" ht="12.75">
      <c r="A61" s="96" t="s">
        <v>21</v>
      </c>
      <c r="B61" s="97" t="s">
        <v>478</v>
      </c>
      <c r="C61" s="97" t="s">
        <v>479</v>
      </c>
      <c r="D61" s="97" t="s">
        <v>499</v>
      </c>
      <c r="E61" s="96" t="s">
        <v>22</v>
      </c>
      <c r="F61" s="98" t="s">
        <v>23</v>
      </c>
    </row>
    <row r="62" spans="1:6" ht="13.5" thickBot="1">
      <c r="A62" s="99"/>
      <c r="B62" s="99"/>
      <c r="C62" s="99"/>
      <c r="D62" s="99"/>
      <c r="E62" s="99"/>
      <c r="F62" s="100"/>
    </row>
    <row r="63" spans="1:6" ht="6" customHeight="1">
      <c r="A63" s="163"/>
      <c r="B63" s="62"/>
      <c r="C63" s="62"/>
      <c r="D63" s="62"/>
      <c r="E63" s="62"/>
      <c r="F63" s="3"/>
    </row>
    <row r="64" spans="1:6" ht="12.75" customHeight="1">
      <c r="A64" s="2" t="s">
        <v>299</v>
      </c>
      <c r="B64" s="35">
        <v>60100</v>
      </c>
      <c r="C64" s="35">
        <v>20000</v>
      </c>
      <c r="D64" s="48">
        <v>31785</v>
      </c>
      <c r="E64" s="35">
        <f>SUM(B64:D64)</f>
        <v>111885</v>
      </c>
      <c r="F64" s="54">
        <f aca="true" t="shared" si="3" ref="F64:F106">(E64/$E$137*100)</f>
        <v>0.4887695095384747</v>
      </c>
    </row>
    <row r="65" spans="1:6" ht="12.75" customHeight="1">
      <c r="A65" s="2" t="s">
        <v>341</v>
      </c>
      <c r="B65" s="35">
        <v>162250</v>
      </c>
      <c r="C65" s="35">
        <v>200000</v>
      </c>
      <c r="D65" s="48"/>
      <c r="E65" s="35">
        <f>SUM(B65:D65)</f>
        <v>362250</v>
      </c>
      <c r="F65" s="54">
        <f t="shared" si="3"/>
        <v>1.5824887592645345</v>
      </c>
    </row>
    <row r="66" spans="1:6" ht="12.75" customHeight="1">
      <c r="A66" s="2" t="s">
        <v>178</v>
      </c>
      <c r="B66" s="35">
        <v>134816</v>
      </c>
      <c r="C66" s="35">
        <v>236928</v>
      </c>
      <c r="D66" s="48">
        <v>35133</v>
      </c>
      <c r="E66" s="35">
        <f>SUM(B66:D66)</f>
        <v>406877</v>
      </c>
      <c r="F66" s="54">
        <f t="shared" si="3"/>
        <v>1.7774417637081465</v>
      </c>
    </row>
    <row r="67" spans="1:6" ht="12.75" customHeight="1">
      <c r="A67" s="2" t="s">
        <v>271</v>
      </c>
      <c r="B67" s="35">
        <v>275000</v>
      </c>
      <c r="C67" s="35">
        <v>100000</v>
      </c>
      <c r="D67" s="48">
        <v>150000</v>
      </c>
      <c r="E67" s="35">
        <f>SUM(B67:D67)</f>
        <v>525000</v>
      </c>
      <c r="F67" s="54">
        <f t="shared" si="3"/>
        <v>2.293461969948601</v>
      </c>
    </row>
    <row r="68" spans="1:6" ht="12.75" customHeight="1">
      <c r="A68" s="2" t="s">
        <v>125</v>
      </c>
      <c r="B68" s="35">
        <v>56000</v>
      </c>
      <c r="C68" s="35">
        <v>50000</v>
      </c>
      <c r="D68" s="48">
        <v>40000</v>
      </c>
      <c r="E68" s="35">
        <f>SUM(B68:D68)</f>
        <v>146000</v>
      </c>
      <c r="F68" s="54">
        <f t="shared" si="3"/>
        <v>0.63780085259523</v>
      </c>
    </row>
    <row r="69" spans="1:6" ht="12" customHeight="1">
      <c r="A69" s="2" t="s">
        <v>113</v>
      </c>
      <c r="B69" s="35">
        <v>125967.89</v>
      </c>
      <c r="C69" s="35">
        <v>80000</v>
      </c>
      <c r="D69" s="48"/>
      <c r="E69" s="35">
        <f aca="true" t="shared" si="4" ref="E69:E106">SUM(B69:D69)</f>
        <v>205967.89</v>
      </c>
      <c r="F69" s="54">
        <f t="shared" si="3"/>
        <v>0.8997705195153463</v>
      </c>
    </row>
    <row r="70" spans="1:6" ht="12" customHeight="1">
      <c r="A70" s="2" t="s">
        <v>114</v>
      </c>
      <c r="B70" s="35"/>
      <c r="C70" s="35">
        <v>50000</v>
      </c>
      <c r="D70" s="48"/>
      <c r="E70" s="35">
        <f t="shared" si="4"/>
        <v>50000</v>
      </c>
      <c r="F70" s="54">
        <f t="shared" si="3"/>
        <v>0.21842494951891436</v>
      </c>
    </row>
    <row r="71" spans="1:6" ht="12" customHeight="1">
      <c r="A71" s="2" t="s">
        <v>117</v>
      </c>
      <c r="B71" s="35">
        <v>45300</v>
      </c>
      <c r="C71" s="35"/>
      <c r="D71" s="48"/>
      <c r="E71" s="35">
        <f t="shared" si="4"/>
        <v>45300</v>
      </c>
      <c r="F71" s="54">
        <f t="shared" si="3"/>
        <v>0.19789300426413642</v>
      </c>
    </row>
    <row r="72" spans="1:6" ht="12" customHeight="1">
      <c r="A72" s="2" t="s">
        <v>126</v>
      </c>
      <c r="B72" s="35">
        <v>100000</v>
      </c>
      <c r="C72" s="35">
        <v>100000</v>
      </c>
      <c r="D72" s="48">
        <v>100000</v>
      </c>
      <c r="E72" s="35">
        <f t="shared" si="4"/>
        <v>300000</v>
      </c>
      <c r="F72" s="54">
        <f t="shared" si="3"/>
        <v>1.3105496971134862</v>
      </c>
    </row>
    <row r="73" spans="1:6" ht="12" customHeight="1">
      <c r="A73" s="2" t="s">
        <v>279</v>
      </c>
      <c r="B73" s="35"/>
      <c r="C73" s="35">
        <v>110000</v>
      </c>
      <c r="D73" s="48">
        <v>80000</v>
      </c>
      <c r="E73" s="35">
        <f t="shared" si="4"/>
        <v>190000</v>
      </c>
      <c r="F73" s="54">
        <f t="shared" si="3"/>
        <v>0.8300148081718747</v>
      </c>
    </row>
    <row r="74" spans="1:6" ht="12" customHeight="1">
      <c r="A74" s="2" t="s">
        <v>291</v>
      </c>
      <c r="B74" s="35">
        <v>60000</v>
      </c>
      <c r="C74" s="35">
        <v>211500</v>
      </c>
      <c r="D74" s="48"/>
      <c r="E74" s="35">
        <f t="shared" si="4"/>
        <v>271500</v>
      </c>
      <c r="F74" s="54">
        <f t="shared" si="3"/>
        <v>1.186047475887705</v>
      </c>
    </row>
    <row r="75" spans="1:6" ht="12" customHeight="1">
      <c r="A75" s="2" t="s">
        <v>192</v>
      </c>
      <c r="B75" s="35">
        <v>31000</v>
      </c>
      <c r="C75" s="35">
        <v>50000</v>
      </c>
      <c r="D75" s="48"/>
      <c r="E75" s="35">
        <f t="shared" si="4"/>
        <v>81000</v>
      </c>
      <c r="F75" s="54">
        <f t="shared" si="3"/>
        <v>0.3538484182206413</v>
      </c>
    </row>
    <row r="76" spans="1:6" ht="12" customHeight="1">
      <c r="A76" s="2" t="s">
        <v>127</v>
      </c>
      <c r="B76" s="35">
        <v>20000</v>
      </c>
      <c r="C76" s="35">
        <v>51950</v>
      </c>
      <c r="D76" s="48"/>
      <c r="E76" s="35">
        <f t="shared" si="4"/>
        <v>71950</v>
      </c>
      <c r="F76" s="54">
        <f t="shared" si="3"/>
        <v>0.3143135023577178</v>
      </c>
    </row>
    <row r="77" spans="1:6" ht="12" customHeight="1">
      <c r="A77" s="2" t="s">
        <v>128</v>
      </c>
      <c r="B77" s="35">
        <v>76450.02</v>
      </c>
      <c r="C77" s="35">
        <v>184465</v>
      </c>
      <c r="D77" s="48">
        <v>150000</v>
      </c>
      <c r="E77" s="35">
        <f t="shared" si="4"/>
        <v>410915.02</v>
      </c>
      <c r="F77" s="54">
        <f t="shared" si="3"/>
        <v>1.795081850001274</v>
      </c>
    </row>
    <row r="78" spans="1:6" ht="12" customHeight="1">
      <c r="A78" s="2" t="s">
        <v>490</v>
      </c>
      <c r="B78" s="35">
        <v>20000</v>
      </c>
      <c r="C78" s="35"/>
      <c r="D78" s="48"/>
      <c r="E78" s="35">
        <f t="shared" si="4"/>
        <v>20000</v>
      </c>
      <c r="F78" s="54">
        <f t="shared" si="3"/>
        <v>0.08736997980756575</v>
      </c>
    </row>
    <row r="79" spans="1:6" ht="12" customHeight="1">
      <c r="A79" s="2" t="s">
        <v>498</v>
      </c>
      <c r="B79" s="35"/>
      <c r="C79" s="35"/>
      <c r="D79" s="48">
        <v>10000</v>
      </c>
      <c r="E79" s="35">
        <f>SUM(B79:D79)</f>
        <v>10000</v>
      </c>
      <c r="F79" s="54">
        <f t="shared" si="3"/>
        <v>0.043684989903782875</v>
      </c>
    </row>
    <row r="80" spans="1:6" ht="12" customHeight="1">
      <c r="A80" s="2" t="s">
        <v>496</v>
      </c>
      <c r="B80" s="35"/>
      <c r="C80" s="35">
        <v>50000</v>
      </c>
      <c r="D80" s="48"/>
      <c r="E80" s="35">
        <f>SUM(B80:D80)</f>
        <v>50000</v>
      </c>
      <c r="F80" s="54">
        <f t="shared" si="3"/>
        <v>0.21842494951891436</v>
      </c>
    </row>
    <row r="81" spans="1:6" ht="12" customHeight="1">
      <c r="A81" s="2" t="s">
        <v>129</v>
      </c>
      <c r="B81" s="35">
        <v>30000</v>
      </c>
      <c r="C81" s="35">
        <v>30000</v>
      </c>
      <c r="D81" s="48"/>
      <c r="E81" s="35">
        <f t="shared" si="4"/>
        <v>60000</v>
      </c>
      <c r="F81" s="54">
        <f t="shared" si="3"/>
        <v>0.2621099394226973</v>
      </c>
    </row>
    <row r="82" spans="1:6" ht="12" customHeight="1">
      <c r="A82" s="2" t="s">
        <v>409</v>
      </c>
      <c r="B82" s="35">
        <v>100000</v>
      </c>
      <c r="C82" s="35">
        <f>80000+80000</f>
        <v>160000</v>
      </c>
      <c r="D82" s="48">
        <v>50000</v>
      </c>
      <c r="E82" s="35">
        <f t="shared" si="4"/>
        <v>310000</v>
      </c>
      <c r="F82" s="54">
        <f t="shared" si="3"/>
        <v>1.354234687017269</v>
      </c>
    </row>
    <row r="83" spans="1:6" ht="12" customHeight="1">
      <c r="A83" s="2" t="s">
        <v>130</v>
      </c>
      <c r="B83" s="35">
        <v>65000</v>
      </c>
      <c r="C83" s="35">
        <v>60000</v>
      </c>
      <c r="D83" s="48"/>
      <c r="E83" s="35">
        <f t="shared" si="4"/>
        <v>125000</v>
      </c>
      <c r="F83" s="54">
        <f t="shared" si="3"/>
        <v>0.546062373797286</v>
      </c>
    </row>
    <row r="84" spans="1:6" ht="12" customHeight="1">
      <c r="A84" s="2" t="s">
        <v>119</v>
      </c>
      <c r="B84" s="48">
        <v>150000</v>
      </c>
      <c r="C84" s="48">
        <v>100000</v>
      </c>
      <c r="D84" s="48">
        <v>50000</v>
      </c>
      <c r="E84" s="35">
        <f t="shared" si="4"/>
        <v>300000</v>
      </c>
      <c r="F84" s="54">
        <f t="shared" si="3"/>
        <v>1.3105496971134862</v>
      </c>
    </row>
    <row r="85" spans="1:6" ht="12" customHeight="1">
      <c r="A85" s="2" t="s">
        <v>177</v>
      </c>
      <c r="B85" s="48">
        <v>15000</v>
      </c>
      <c r="C85" s="48">
        <v>10000</v>
      </c>
      <c r="D85" s="48"/>
      <c r="E85" s="35">
        <f t="shared" si="4"/>
        <v>25000</v>
      </c>
      <c r="F85" s="54">
        <f t="shared" si="3"/>
        <v>0.10921247475945718</v>
      </c>
    </row>
    <row r="86" spans="1:6" ht="12" customHeight="1">
      <c r="A86" s="2" t="s">
        <v>179</v>
      </c>
      <c r="B86" s="48"/>
      <c r="C86" s="48">
        <v>50000</v>
      </c>
      <c r="D86" s="48"/>
      <c r="E86" s="35">
        <f t="shared" si="4"/>
        <v>50000</v>
      </c>
      <c r="F86" s="54">
        <f t="shared" si="3"/>
        <v>0.21842494951891436</v>
      </c>
    </row>
    <row r="87" spans="1:6" ht="12" customHeight="1">
      <c r="A87" s="2" t="s">
        <v>289</v>
      </c>
      <c r="B87" s="48">
        <v>30000</v>
      </c>
      <c r="C87" s="48"/>
      <c r="D87" s="48"/>
      <c r="E87" s="35">
        <f t="shared" si="4"/>
        <v>30000</v>
      </c>
      <c r="F87" s="54">
        <f t="shared" si="3"/>
        <v>0.13105496971134864</v>
      </c>
    </row>
    <row r="88" spans="1:6" ht="12" customHeight="1">
      <c r="A88" s="2" t="s">
        <v>162</v>
      </c>
      <c r="B88" s="48">
        <v>40000</v>
      </c>
      <c r="C88" s="48">
        <v>40000</v>
      </c>
      <c r="D88" s="48"/>
      <c r="E88" s="35">
        <f t="shared" si="4"/>
        <v>80000</v>
      </c>
      <c r="F88" s="54">
        <f t="shared" si="3"/>
        <v>0.349479919230263</v>
      </c>
    </row>
    <row r="89" spans="1:6" ht="12" customHeight="1">
      <c r="A89" s="2" t="s">
        <v>120</v>
      </c>
      <c r="B89" s="48">
        <v>63000</v>
      </c>
      <c r="C89" s="48">
        <v>55000</v>
      </c>
      <c r="D89" s="48"/>
      <c r="E89" s="35">
        <f t="shared" si="4"/>
        <v>118000</v>
      </c>
      <c r="F89" s="54">
        <f t="shared" si="3"/>
        <v>0.5154828808646379</v>
      </c>
    </row>
    <row r="90" spans="1:6" ht="12" customHeight="1">
      <c r="A90" s="2" t="s">
        <v>332</v>
      </c>
      <c r="B90" s="48">
        <v>102456.4</v>
      </c>
      <c r="C90" s="48">
        <v>50000</v>
      </c>
      <c r="D90" s="48">
        <f>55000-10000</f>
        <v>45000</v>
      </c>
      <c r="E90" s="35">
        <f t="shared" si="4"/>
        <v>197456.4</v>
      </c>
      <c r="F90" s="54">
        <f t="shared" si="3"/>
        <v>0.8625880840437312</v>
      </c>
    </row>
    <row r="91" spans="1:6" ht="12" customHeight="1">
      <c r="A91" s="2" t="s">
        <v>131</v>
      </c>
      <c r="B91" s="48">
        <v>2168</v>
      </c>
      <c r="C91" s="48">
        <v>2168</v>
      </c>
      <c r="D91" s="48">
        <v>22384</v>
      </c>
      <c r="E91" s="35">
        <f t="shared" si="4"/>
        <v>26720</v>
      </c>
      <c r="F91" s="54">
        <f t="shared" si="3"/>
        <v>0.11672629302290785</v>
      </c>
    </row>
    <row r="92" spans="1:6" ht="12" customHeight="1">
      <c r="A92" s="2" t="s">
        <v>132</v>
      </c>
      <c r="B92" s="48">
        <v>60000</v>
      </c>
      <c r="C92" s="48">
        <v>75000</v>
      </c>
      <c r="D92" s="48"/>
      <c r="E92" s="35">
        <f t="shared" si="4"/>
        <v>135000</v>
      </c>
      <c r="F92" s="54">
        <f t="shared" si="3"/>
        <v>0.5897473637010688</v>
      </c>
    </row>
    <row r="93" spans="1:6" ht="12" customHeight="1">
      <c r="A93" s="2" t="s">
        <v>133</v>
      </c>
      <c r="B93" s="48">
        <v>20000</v>
      </c>
      <c r="C93" s="48">
        <v>20000</v>
      </c>
      <c r="D93" s="48">
        <v>25000</v>
      </c>
      <c r="E93" s="35">
        <f t="shared" si="4"/>
        <v>65000</v>
      </c>
      <c r="F93" s="54">
        <f t="shared" si="3"/>
        <v>0.28395243437458867</v>
      </c>
    </row>
    <row r="94" spans="1:6" ht="12" customHeight="1">
      <c r="A94" s="2" t="s">
        <v>180</v>
      </c>
      <c r="B94" s="48">
        <v>80000</v>
      </c>
      <c r="C94" s="48">
        <v>45000</v>
      </c>
      <c r="D94" s="48"/>
      <c r="E94" s="35">
        <f t="shared" si="4"/>
        <v>125000</v>
      </c>
      <c r="F94" s="54">
        <f t="shared" si="3"/>
        <v>0.546062373797286</v>
      </c>
    </row>
    <row r="95" spans="1:6" ht="12" customHeight="1">
      <c r="A95" s="2" t="s">
        <v>134</v>
      </c>
      <c r="B95" s="48">
        <v>30000</v>
      </c>
      <c r="C95" s="48"/>
      <c r="D95" s="48"/>
      <c r="E95" s="35">
        <f t="shared" si="4"/>
        <v>30000</v>
      </c>
      <c r="F95" s="54">
        <f t="shared" si="3"/>
        <v>0.13105496971134864</v>
      </c>
    </row>
    <row r="96" spans="1:6" ht="12" customHeight="1">
      <c r="A96" s="2" t="s">
        <v>135</v>
      </c>
      <c r="B96" s="48">
        <v>30000</v>
      </c>
      <c r="C96" s="48">
        <v>35000</v>
      </c>
      <c r="D96" s="48"/>
      <c r="E96" s="35">
        <f t="shared" si="4"/>
        <v>65000</v>
      </c>
      <c r="F96" s="54">
        <f t="shared" si="3"/>
        <v>0.28395243437458867</v>
      </c>
    </row>
    <row r="97" spans="1:6" ht="12" customHeight="1">
      <c r="A97" s="2" t="s">
        <v>181</v>
      </c>
      <c r="B97" s="48"/>
      <c r="C97" s="48">
        <v>20000</v>
      </c>
      <c r="D97" s="48">
        <v>45000</v>
      </c>
      <c r="E97" s="35">
        <f t="shared" si="4"/>
        <v>65000</v>
      </c>
      <c r="F97" s="54">
        <f t="shared" si="3"/>
        <v>0.28395243437458867</v>
      </c>
    </row>
    <row r="98" spans="1:6" ht="12" customHeight="1">
      <c r="A98" s="2" t="s">
        <v>136</v>
      </c>
      <c r="B98" s="48">
        <v>157385</v>
      </c>
      <c r="C98" s="48">
        <v>62500</v>
      </c>
      <c r="D98" s="48"/>
      <c r="E98" s="35">
        <f t="shared" si="4"/>
        <v>219885</v>
      </c>
      <c r="F98" s="54">
        <f t="shared" si="3"/>
        <v>0.9605674004993298</v>
      </c>
    </row>
    <row r="99" spans="1:6" ht="12" customHeight="1">
      <c r="A99" s="2" t="s">
        <v>182</v>
      </c>
      <c r="B99" s="48">
        <v>40000</v>
      </c>
      <c r="C99" s="48">
        <v>20000</v>
      </c>
      <c r="D99" s="48">
        <v>20000</v>
      </c>
      <c r="E99" s="35">
        <f t="shared" si="4"/>
        <v>80000</v>
      </c>
      <c r="F99" s="54">
        <f t="shared" si="3"/>
        <v>0.349479919230263</v>
      </c>
    </row>
    <row r="100" spans="1:6" ht="12" customHeight="1">
      <c r="A100" s="2" t="s">
        <v>295</v>
      </c>
      <c r="B100" s="48">
        <v>20000</v>
      </c>
      <c r="C100" s="48">
        <v>40000</v>
      </c>
      <c r="D100" s="48"/>
      <c r="E100" s="35">
        <f t="shared" si="4"/>
        <v>60000</v>
      </c>
      <c r="F100" s="54">
        <f t="shared" si="3"/>
        <v>0.2621099394226973</v>
      </c>
    </row>
    <row r="101" spans="1:6" ht="12" customHeight="1">
      <c r="A101" s="2" t="s">
        <v>422</v>
      </c>
      <c r="B101" s="48">
        <v>20000</v>
      </c>
      <c r="C101" s="48"/>
      <c r="D101" s="48"/>
      <c r="E101" s="35">
        <f t="shared" si="4"/>
        <v>20000</v>
      </c>
      <c r="F101" s="54">
        <f t="shared" si="3"/>
        <v>0.08736997980756575</v>
      </c>
    </row>
    <row r="102" spans="1:6" ht="12" customHeight="1">
      <c r="A102" s="2" t="s">
        <v>137</v>
      </c>
      <c r="B102" s="48">
        <v>50000</v>
      </c>
      <c r="C102" s="48">
        <v>30000</v>
      </c>
      <c r="D102" s="48"/>
      <c r="E102" s="35">
        <f t="shared" si="4"/>
        <v>80000</v>
      </c>
      <c r="F102" s="54">
        <f t="shared" si="3"/>
        <v>0.349479919230263</v>
      </c>
    </row>
    <row r="103" spans="1:6" ht="12" customHeight="1">
      <c r="A103" s="2" t="s">
        <v>455</v>
      </c>
      <c r="B103" s="48">
        <v>130000</v>
      </c>
      <c r="C103" s="48">
        <v>80000</v>
      </c>
      <c r="D103" s="48">
        <v>40000</v>
      </c>
      <c r="E103" s="35">
        <f t="shared" si="4"/>
        <v>250000</v>
      </c>
      <c r="F103" s="54">
        <f t="shared" si="3"/>
        <v>1.092124747594572</v>
      </c>
    </row>
    <row r="104" spans="1:6" ht="12" customHeight="1">
      <c r="A104" s="2" t="s">
        <v>215</v>
      </c>
      <c r="B104" s="48">
        <f>12420-33144.31-3215</f>
        <v>-23939.309999999998</v>
      </c>
      <c r="C104" s="48"/>
      <c r="D104" s="48">
        <v>125649.06</v>
      </c>
      <c r="E104" s="35">
        <f t="shared" si="4"/>
        <v>101709.75</v>
      </c>
      <c r="F104" s="54">
        <f t="shared" si="3"/>
        <v>0.444318940186628</v>
      </c>
    </row>
    <row r="105" spans="1:6" ht="12" customHeight="1">
      <c r="A105" s="2" t="s">
        <v>491</v>
      </c>
      <c r="B105" s="48">
        <v>50000</v>
      </c>
      <c r="C105" s="48"/>
      <c r="D105" s="48"/>
      <c r="E105" s="35">
        <f>SUM(B105:D105)</f>
        <v>50000</v>
      </c>
      <c r="F105" s="54">
        <f t="shared" si="3"/>
        <v>0.21842494951891436</v>
      </c>
    </row>
    <row r="106" spans="1:6" ht="12" customHeight="1">
      <c r="A106" s="2" t="s">
        <v>298</v>
      </c>
      <c r="B106" s="48"/>
      <c r="C106" s="48">
        <v>50000</v>
      </c>
      <c r="D106" s="48"/>
      <c r="E106" s="35">
        <f t="shared" si="4"/>
        <v>50000</v>
      </c>
      <c r="F106" s="54">
        <f t="shared" si="3"/>
        <v>0.21842494951891436</v>
      </c>
    </row>
    <row r="107" spans="2:6" ht="12" customHeight="1">
      <c r="B107" s="48"/>
      <c r="C107" s="48"/>
      <c r="D107" s="48"/>
      <c r="E107" s="35"/>
      <c r="F107" s="54"/>
    </row>
    <row r="108" spans="1:6" ht="12" customHeight="1">
      <c r="A108" s="7" t="s">
        <v>328</v>
      </c>
      <c r="B108" s="147">
        <f>SUM(B64:B107)</f>
        <v>2427954</v>
      </c>
      <c r="C108" s="147">
        <f>SUM(C64:C107)</f>
        <v>2529511</v>
      </c>
      <c r="D108" s="147">
        <f>SUM(D64:D107)</f>
        <v>1019951.06</v>
      </c>
      <c r="E108" s="147">
        <f>SUM(E64:E107)</f>
        <v>5977416.0600000005</v>
      </c>
      <c r="F108" s="147">
        <f>SUM(F64:F107)</f>
        <v>26.112336023180962</v>
      </c>
    </row>
    <row r="109" spans="2:6" ht="12" customHeight="1" thickBot="1">
      <c r="B109" s="35"/>
      <c r="C109" s="35"/>
      <c r="D109" s="48"/>
      <c r="E109" s="275" t="s">
        <v>168</v>
      </c>
      <c r="F109" s="275"/>
    </row>
    <row r="110" spans="1:6" ht="12.75" customHeight="1">
      <c r="A110" s="261" t="s">
        <v>19</v>
      </c>
      <c r="B110" s="262"/>
      <c r="C110" s="262"/>
      <c r="D110" s="262"/>
      <c r="E110" s="262"/>
      <c r="F110" s="263"/>
    </row>
    <row r="111" spans="1:6" ht="12.75" customHeight="1">
      <c r="A111" s="264" t="s">
        <v>20</v>
      </c>
      <c r="B111" s="265"/>
      <c r="C111" s="265"/>
      <c r="D111" s="265"/>
      <c r="E111" s="265"/>
      <c r="F111" s="266"/>
    </row>
    <row r="112" spans="1:6" ht="12.75" customHeight="1">
      <c r="A112" s="267" t="s">
        <v>228</v>
      </c>
      <c r="B112" s="268"/>
      <c r="C112" s="268"/>
      <c r="D112" s="268"/>
      <c r="E112" s="268"/>
      <c r="F112" s="269"/>
    </row>
    <row r="113" spans="1:6" ht="13.5" customHeight="1" thickBot="1">
      <c r="A113" s="270" t="s">
        <v>500</v>
      </c>
      <c r="B113" s="271"/>
      <c r="C113" s="271"/>
      <c r="D113" s="271"/>
      <c r="E113" s="271"/>
      <c r="F113" s="272"/>
    </row>
    <row r="114" spans="2:5" ht="8.25" customHeight="1" thickBot="1">
      <c r="B114" s="2"/>
      <c r="C114" s="2"/>
      <c r="D114" s="2"/>
      <c r="E114" s="2"/>
    </row>
    <row r="115" spans="1:6" ht="12" customHeight="1">
      <c r="A115" s="94"/>
      <c r="B115" s="94"/>
      <c r="C115" s="94"/>
      <c r="D115" s="94"/>
      <c r="E115" s="94"/>
      <c r="F115" s="95"/>
    </row>
    <row r="116" spans="1:6" ht="12" customHeight="1">
      <c r="A116" s="96" t="s">
        <v>21</v>
      </c>
      <c r="B116" s="97" t="s">
        <v>478</v>
      </c>
      <c r="C116" s="97" t="s">
        <v>479</v>
      </c>
      <c r="D116" s="97" t="s">
        <v>499</v>
      </c>
      <c r="E116" s="96" t="s">
        <v>22</v>
      </c>
      <c r="F116" s="98" t="s">
        <v>23</v>
      </c>
    </row>
    <row r="117" spans="1:6" ht="12" customHeight="1" thickBot="1">
      <c r="A117" s="99"/>
      <c r="B117" s="99"/>
      <c r="C117" s="99"/>
      <c r="D117" s="99"/>
      <c r="E117" s="99"/>
      <c r="F117" s="100"/>
    </row>
    <row r="118" spans="2:6" ht="6" customHeight="1">
      <c r="B118" s="48"/>
      <c r="C118" s="48"/>
      <c r="D118" s="48"/>
      <c r="E118" s="35"/>
      <c r="F118" s="146"/>
    </row>
    <row r="119" spans="1:6" ht="12.75" customHeight="1">
      <c r="A119" s="2" t="s">
        <v>216</v>
      </c>
      <c r="B119" s="48">
        <v>7500</v>
      </c>
      <c r="C119" s="48">
        <v>10000</v>
      </c>
      <c r="D119" s="48">
        <v>15000</v>
      </c>
      <c r="E119" s="35">
        <f aca="true" t="shared" si="5" ref="E119:E126">SUM(B119:D119)</f>
        <v>32500</v>
      </c>
      <c r="F119" s="54">
        <f aca="true" t="shared" si="6" ref="F119:F126">(E119/$E$137*100)</f>
        <v>0.14197621718729433</v>
      </c>
    </row>
    <row r="120" spans="1:6" ht="12.75" customHeight="1">
      <c r="A120" s="2" t="s">
        <v>342</v>
      </c>
      <c r="B120" s="48">
        <f>70000</f>
        <v>70000</v>
      </c>
      <c r="C120" s="48">
        <v>50000</v>
      </c>
      <c r="D120" s="48"/>
      <c r="E120" s="35">
        <f t="shared" si="5"/>
        <v>120000</v>
      </c>
      <c r="F120" s="54">
        <f t="shared" si="6"/>
        <v>0.5242198788453946</v>
      </c>
    </row>
    <row r="121" spans="1:6" ht="12.75" customHeight="1">
      <c r="A121" s="2" t="s">
        <v>268</v>
      </c>
      <c r="B121" s="48"/>
      <c r="C121" s="48"/>
      <c r="D121" s="48">
        <v>15000</v>
      </c>
      <c r="E121" s="35">
        <f t="shared" si="5"/>
        <v>15000</v>
      </c>
      <c r="F121" s="54">
        <f t="shared" si="6"/>
        <v>0.06552748485567432</v>
      </c>
    </row>
    <row r="122" spans="1:6" ht="12.75" customHeight="1">
      <c r="A122" s="2" t="s">
        <v>163</v>
      </c>
      <c r="B122" s="48"/>
      <c r="C122" s="48"/>
      <c r="D122" s="48">
        <v>20000</v>
      </c>
      <c r="E122" s="35">
        <f t="shared" si="5"/>
        <v>20000</v>
      </c>
      <c r="F122" s="54">
        <f t="shared" si="6"/>
        <v>0.08736997980756575</v>
      </c>
    </row>
    <row r="123" spans="1:6" ht="12.75" customHeight="1">
      <c r="A123" s="2" t="s">
        <v>217</v>
      </c>
      <c r="B123" s="48">
        <v>40000</v>
      </c>
      <c r="C123" s="48">
        <v>50000</v>
      </c>
      <c r="D123" s="48">
        <v>40000</v>
      </c>
      <c r="E123" s="35">
        <f t="shared" si="5"/>
        <v>130000</v>
      </c>
      <c r="F123" s="54">
        <f t="shared" si="6"/>
        <v>0.5679048687491773</v>
      </c>
    </row>
    <row r="124" spans="1:6" ht="12.75" customHeight="1">
      <c r="A124" s="2" t="s">
        <v>152</v>
      </c>
      <c r="B124" s="48">
        <v>15000</v>
      </c>
      <c r="C124" s="48">
        <v>32000</v>
      </c>
      <c r="D124" s="48">
        <v>15456</v>
      </c>
      <c r="E124" s="35">
        <f t="shared" si="5"/>
        <v>62456</v>
      </c>
      <c r="F124" s="54">
        <f t="shared" si="6"/>
        <v>0.27283897294306636</v>
      </c>
    </row>
    <row r="125" spans="1:6" ht="12.75" customHeight="1">
      <c r="A125" s="2" t="s">
        <v>138</v>
      </c>
      <c r="B125" s="48">
        <v>30000</v>
      </c>
      <c r="C125" s="48">
        <v>100000</v>
      </c>
      <c r="D125" s="48"/>
      <c r="E125" s="35">
        <f t="shared" si="5"/>
        <v>130000</v>
      </c>
      <c r="F125" s="54">
        <f t="shared" si="6"/>
        <v>0.5679048687491773</v>
      </c>
    </row>
    <row r="126" spans="1:6" ht="12.75" customHeight="1">
      <c r="A126" s="2" t="s">
        <v>290</v>
      </c>
      <c r="B126" s="48">
        <v>377327.74</v>
      </c>
      <c r="C126" s="48">
        <f>207400+122545.47</f>
        <v>329945.47</v>
      </c>
      <c r="D126" s="48">
        <v>406177.66</v>
      </c>
      <c r="E126" s="35">
        <f t="shared" si="5"/>
        <v>1113450.8699999999</v>
      </c>
      <c r="F126" s="54">
        <f t="shared" si="6"/>
        <v>4.864109001430825</v>
      </c>
    </row>
    <row r="127" spans="1:6" ht="12" customHeight="1">
      <c r="A127" s="2" t="s">
        <v>297</v>
      </c>
      <c r="B127" s="48">
        <v>15000</v>
      </c>
      <c r="C127" s="48">
        <v>42556.2</v>
      </c>
      <c r="D127" s="48"/>
      <c r="E127" s="35">
        <f aca="true" t="shared" si="7" ref="E127:E133">SUM(B127:D127)</f>
        <v>57556.2</v>
      </c>
      <c r="F127" s="54">
        <f aca="true" t="shared" si="8" ref="F127:F133">(E127/$E$137*100)</f>
        <v>0.2514342015900108</v>
      </c>
    </row>
    <row r="128" spans="1:6" ht="12" customHeight="1">
      <c r="A128" s="2" t="s">
        <v>286</v>
      </c>
      <c r="B128" s="48">
        <f>21632</f>
        <v>21632</v>
      </c>
      <c r="C128" s="48">
        <f>26900-21632</f>
        <v>5268</v>
      </c>
      <c r="D128" s="48"/>
      <c r="E128" s="35">
        <f t="shared" si="7"/>
        <v>26900</v>
      </c>
      <c r="F128" s="54">
        <f t="shared" si="8"/>
        <v>0.11751262284117595</v>
      </c>
    </row>
    <row r="129" spans="1:6" ht="12" customHeight="1">
      <c r="A129" s="2" t="s">
        <v>347</v>
      </c>
      <c r="B129" s="48">
        <v>30000</v>
      </c>
      <c r="C129" s="48">
        <v>30000</v>
      </c>
      <c r="D129" s="48"/>
      <c r="E129" s="35">
        <f t="shared" si="7"/>
        <v>60000</v>
      </c>
      <c r="F129" s="54">
        <f t="shared" si="8"/>
        <v>0.2621099394226973</v>
      </c>
    </row>
    <row r="130" spans="1:6" ht="12" customHeight="1">
      <c r="A130" s="2" t="s">
        <v>343</v>
      </c>
      <c r="B130" s="48">
        <v>202667.17</v>
      </c>
      <c r="C130" s="48">
        <v>144000</v>
      </c>
      <c r="D130" s="48">
        <v>80000</v>
      </c>
      <c r="E130" s="35">
        <f t="shared" si="7"/>
        <v>426667.17000000004</v>
      </c>
      <c r="F130" s="54">
        <f t="shared" si="8"/>
        <v>1.8638951013725615</v>
      </c>
    </row>
    <row r="131" spans="1:6" ht="12" customHeight="1">
      <c r="A131" s="2" t="s">
        <v>344</v>
      </c>
      <c r="B131" s="48">
        <v>142988.83</v>
      </c>
      <c r="C131" s="48">
        <v>115000</v>
      </c>
      <c r="D131" s="48">
        <f>-90000</f>
        <v>-90000</v>
      </c>
      <c r="E131" s="35">
        <f t="shared" si="7"/>
        <v>167988.83</v>
      </c>
      <c r="F131" s="54">
        <f t="shared" si="8"/>
        <v>0.7338590342498297</v>
      </c>
    </row>
    <row r="132" spans="1:6" ht="12" customHeight="1">
      <c r="A132" s="2" t="s">
        <v>456</v>
      </c>
      <c r="B132" s="48">
        <v>67625</v>
      </c>
      <c r="C132" s="48">
        <v>65800</v>
      </c>
      <c r="D132" s="48">
        <v>51380</v>
      </c>
      <c r="E132" s="35">
        <f t="shared" si="7"/>
        <v>184805</v>
      </c>
      <c r="F132" s="54">
        <f t="shared" si="8"/>
        <v>0.8073204559168594</v>
      </c>
    </row>
    <row r="133" spans="1:6" ht="12" customHeight="1">
      <c r="A133" s="2" t="s">
        <v>345</v>
      </c>
      <c r="B133" s="48">
        <v>110000</v>
      </c>
      <c r="C133" s="48">
        <v>170000</v>
      </c>
      <c r="D133" s="48"/>
      <c r="E133" s="35">
        <f t="shared" si="7"/>
        <v>280000</v>
      </c>
      <c r="F133" s="54">
        <f t="shared" si="8"/>
        <v>1.2231797173059205</v>
      </c>
    </row>
    <row r="134" ht="12" customHeight="1">
      <c r="F134" s="58"/>
    </row>
    <row r="135" spans="1:6" ht="12" customHeight="1">
      <c r="A135" s="7" t="s">
        <v>328</v>
      </c>
      <c r="B135" s="147">
        <f>SUM(B119:B134)</f>
        <v>1129740.74</v>
      </c>
      <c r="C135" s="147">
        <f>SUM(C119:C134)</f>
        <v>1144569.67</v>
      </c>
      <c r="D135" s="147">
        <f>SUM(D119:D134)</f>
        <v>553013.6599999999</v>
      </c>
      <c r="E135" s="147">
        <f>SUM(E119:E134)</f>
        <v>2827324.07</v>
      </c>
      <c r="F135" s="147">
        <f>SUM(F119:F134)</f>
        <v>12.35116234526723</v>
      </c>
    </row>
    <row r="136" spans="2:6" ht="12" customHeight="1">
      <c r="B136" s="149"/>
      <c r="C136" s="149"/>
      <c r="D136" s="149"/>
      <c r="E136" s="149"/>
      <c r="F136" s="150"/>
    </row>
    <row r="137" spans="1:6" ht="12" customHeight="1" thickBot="1">
      <c r="A137" s="7" t="s">
        <v>238</v>
      </c>
      <c r="B137" s="111">
        <f>SUM(B135+B108+B53)</f>
        <v>8391135.400000002</v>
      </c>
      <c r="C137" s="111">
        <f>SUM(C135+C108+C53)</f>
        <v>10646054.99</v>
      </c>
      <c r="D137" s="111">
        <f>SUM(D135+D108+D53)</f>
        <v>3853967.4699999997</v>
      </c>
      <c r="E137" s="111">
        <f>SUM(E135+E108+E53)</f>
        <v>22891157.86</v>
      </c>
      <c r="F137" s="151">
        <f>SUM(F135+F108+F53)</f>
        <v>100</v>
      </c>
    </row>
    <row r="138" ht="12" customHeight="1" thickTop="1"/>
    <row r="140" ht="12.75">
      <c r="D140" s="48"/>
    </row>
  </sheetData>
  <mergeCells count="15">
    <mergeCell ref="A57:F57"/>
    <mergeCell ref="A58:F58"/>
    <mergeCell ref="A5:F5"/>
    <mergeCell ref="E54:F54"/>
    <mergeCell ref="A55:F55"/>
    <mergeCell ref="A56:F56"/>
    <mergeCell ref="E1:F1"/>
    <mergeCell ref="A2:F2"/>
    <mergeCell ref="A3:F3"/>
    <mergeCell ref="A4:F4"/>
    <mergeCell ref="A113:F113"/>
    <mergeCell ref="E109:F109"/>
    <mergeCell ref="A110:F110"/>
    <mergeCell ref="A111:F111"/>
    <mergeCell ref="A112:F112"/>
  </mergeCells>
  <printOptions/>
  <pageMargins left="0.984251968503937" right="0.5905511811023623" top="0.984251968503937" bottom="0.7874015748031497" header="0" footer="0"/>
  <pageSetup horizontalDpi="600" verticalDpi="600" orientation="portrait" r:id="rId1"/>
  <headerFooter alignWithMargins="0"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F25" sqref="F25"/>
    </sheetView>
  </sheetViews>
  <sheetFormatPr defaultColWidth="9.140625" defaultRowHeight="12.75"/>
  <cols>
    <col min="1" max="1" width="39.8515625" style="2" customWidth="1"/>
    <col min="2" max="2" width="10.57421875" style="33" customWidth="1"/>
    <col min="3" max="3" width="10.00390625" style="33" customWidth="1"/>
    <col min="4" max="4" width="10.7109375" style="33" customWidth="1"/>
    <col min="5" max="5" width="11.421875" style="33" customWidth="1"/>
    <col min="6" max="6" width="6.8515625" style="2" bestFit="1" customWidth="1"/>
    <col min="7" max="7" width="2.57421875" style="2" customWidth="1"/>
    <col min="8" max="16384" width="11.421875" style="2" customWidth="1"/>
  </cols>
  <sheetData>
    <row r="1" spans="5:6" ht="13.5" thickBot="1">
      <c r="E1" s="275" t="s">
        <v>169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229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spans="2:5" ht="8.25" customHeight="1" thickBot="1">
      <c r="B6" s="2"/>
      <c r="C6" s="2"/>
      <c r="D6" s="2"/>
      <c r="E6" s="2"/>
    </row>
    <row r="7" spans="1:6" ht="12.75">
      <c r="A7" s="94"/>
      <c r="B7" s="94"/>
      <c r="C7" s="94"/>
      <c r="D7" s="94"/>
      <c r="E7" s="94"/>
      <c r="F7" s="95"/>
    </row>
    <row r="8" spans="1:6" ht="12.75">
      <c r="A8" s="96" t="s">
        <v>21</v>
      </c>
      <c r="B8" s="97" t="s">
        <v>478</v>
      </c>
      <c r="C8" s="97" t="s">
        <v>479</v>
      </c>
      <c r="D8" s="97" t="s">
        <v>499</v>
      </c>
      <c r="E8" s="96" t="s">
        <v>22</v>
      </c>
      <c r="F8" s="98" t="s">
        <v>23</v>
      </c>
    </row>
    <row r="9" spans="1:6" ht="13.5" thickBot="1">
      <c r="A9" s="99"/>
      <c r="B9" s="99"/>
      <c r="C9" s="99"/>
      <c r="D9" s="99"/>
      <c r="E9" s="99"/>
      <c r="F9" s="100"/>
    </row>
    <row r="10" spans="1:6" ht="6" customHeight="1">
      <c r="A10" s="3"/>
      <c r="B10" s="34"/>
      <c r="C10" s="34"/>
      <c r="D10" s="34"/>
      <c r="E10" s="34"/>
      <c r="F10" s="164"/>
    </row>
    <row r="11" spans="1:6" ht="12.75" customHeight="1">
      <c r="A11" s="2" t="s">
        <v>248</v>
      </c>
      <c r="B11" s="34"/>
      <c r="C11" s="34"/>
      <c r="D11" s="165">
        <v>8386</v>
      </c>
      <c r="E11" s="35">
        <f aca="true" t="shared" si="0" ref="E11:E23">SUM(B11:D11)</f>
        <v>8386</v>
      </c>
      <c r="F11" s="54">
        <f aca="true" t="shared" si="1" ref="F11:F23">(E11/$E$25*100)</f>
        <v>0.4247269485855519</v>
      </c>
    </row>
    <row r="12" spans="1:6" ht="12.75" customHeight="1">
      <c r="A12" s="119" t="s">
        <v>435</v>
      </c>
      <c r="B12" s="165"/>
      <c r="C12" s="165">
        <v>206192</v>
      </c>
      <c r="D12" s="48"/>
      <c r="E12" s="35">
        <f t="shared" si="0"/>
        <v>206192</v>
      </c>
      <c r="F12" s="54">
        <f t="shared" si="1"/>
        <v>10.44303589109851</v>
      </c>
    </row>
    <row r="13" spans="1:6" ht="12.75" customHeight="1">
      <c r="A13" s="9" t="s">
        <v>100</v>
      </c>
      <c r="B13" s="165">
        <v>6000</v>
      </c>
      <c r="C13" s="165"/>
      <c r="D13" s="48"/>
      <c r="E13" s="35">
        <f t="shared" si="0"/>
        <v>6000</v>
      </c>
      <c r="F13" s="54">
        <f t="shared" si="1"/>
        <v>0.30388286328563213</v>
      </c>
    </row>
    <row r="14" spans="1:6" ht="12.75">
      <c r="A14" s="119" t="s">
        <v>272</v>
      </c>
      <c r="B14" s="48">
        <v>201645</v>
      </c>
      <c r="C14" s="48">
        <v>104816</v>
      </c>
      <c r="D14" s="48">
        <v>115256</v>
      </c>
      <c r="E14" s="35">
        <f t="shared" si="0"/>
        <v>421717</v>
      </c>
      <c r="F14" s="54">
        <f t="shared" si="1"/>
        <v>21.358761576037825</v>
      </c>
    </row>
    <row r="15" spans="1:6" ht="12.75">
      <c r="A15" s="2" t="s">
        <v>434</v>
      </c>
      <c r="B15" s="48">
        <v>10000</v>
      </c>
      <c r="C15" s="48"/>
      <c r="D15" s="48"/>
      <c r="E15" s="35">
        <f t="shared" si="0"/>
        <v>10000</v>
      </c>
      <c r="F15" s="54">
        <f t="shared" si="1"/>
        <v>0.5064714388093869</v>
      </c>
    </row>
    <row r="16" spans="1:6" ht="12.75">
      <c r="A16" s="2" t="s">
        <v>264</v>
      </c>
      <c r="B16" s="48">
        <v>500000</v>
      </c>
      <c r="C16" s="48">
        <v>200000</v>
      </c>
      <c r="D16" s="48"/>
      <c r="E16" s="35">
        <f t="shared" si="0"/>
        <v>700000</v>
      </c>
      <c r="F16" s="54">
        <f t="shared" si="1"/>
        <v>35.45300071665709</v>
      </c>
    </row>
    <row r="17" spans="1:6" ht="12.75">
      <c r="A17" s="2" t="s">
        <v>116</v>
      </c>
      <c r="B17" s="35"/>
      <c r="C17" s="35">
        <v>31200</v>
      </c>
      <c r="D17" s="46">
        <v>80100</v>
      </c>
      <c r="E17" s="35">
        <f t="shared" si="0"/>
        <v>111300</v>
      </c>
      <c r="F17" s="54">
        <f t="shared" si="1"/>
        <v>5.637027113948476</v>
      </c>
    </row>
    <row r="18" spans="1:6" ht="12.75">
      <c r="A18" s="2" t="s">
        <v>251</v>
      </c>
      <c r="B18" s="35">
        <v>13680</v>
      </c>
      <c r="C18" s="35"/>
      <c r="D18" s="46"/>
      <c r="E18" s="35">
        <f t="shared" si="0"/>
        <v>13680</v>
      </c>
      <c r="F18" s="54">
        <f t="shared" si="1"/>
        <v>0.6928529282912413</v>
      </c>
    </row>
    <row r="19" spans="1:6" ht="12.75">
      <c r="A19" s="2" t="s">
        <v>107</v>
      </c>
      <c r="B19" s="35">
        <v>6000</v>
      </c>
      <c r="C19" s="35">
        <v>6000</v>
      </c>
      <c r="D19" s="46"/>
      <c r="E19" s="35">
        <f t="shared" si="0"/>
        <v>12000</v>
      </c>
      <c r="F19" s="54">
        <f t="shared" si="1"/>
        <v>0.6077657265712643</v>
      </c>
    </row>
    <row r="20" spans="1:6" ht="12.75">
      <c r="A20" s="2" t="s">
        <v>339</v>
      </c>
      <c r="B20" s="35"/>
      <c r="C20" s="35">
        <v>18000</v>
      </c>
      <c r="D20" s="46"/>
      <c r="E20" s="35">
        <f t="shared" si="0"/>
        <v>18000</v>
      </c>
      <c r="F20" s="54">
        <f t="shared" si="1"/>
        <v>0.9116485898568965</v>
      </c>
    </row>
    <row r="21" spans="1:6" ht="12.75">
      <c r="A21" s="2" t="s">
        <v>270</v>
      </c>
      <c r="B21" s="35">
        <f>-34830</f>
        <v>-34830</v>
      </c>
      <c r="C21" s="35"/>
      <c r="D21" s="46"/>
      <c r="E21" s="35">
        <f t="shared" si="0"/>
        <v>-34830</v>
      </c>
      <c r="F21" s="54">
        <f t="shared" si="1"/>
        <v>-1.7640400213730947</v>
      </c>
    </row>
    <row r="22" spans="1:6" ht="12.75">
      <c r="A22" s="2" t="s">
        <v>117</v>
      </c>
      <c r="B22" s="35">
        <v>457000</v>
      </c>
      <c r="C22" s="35"/>
      <c r="D22" s="46"/>
      <c r="E22" s="35">
        <f t="shared" si="0"/>
        <v>457000</v>
      </c>
      <c r="F22" s="54">
        <f t="shared" si="1"/>
        <v>23.145744753588986</v>
      </c>
    </row>
    <row r="23" spans="1:6" ht="12.75">
      <c r="A23" s="2" t="s">
        <v>162</v>
      </c>
      <c r="B23" s="120"/>
      <c r="C23" s="35">
        <v>45000</v>
      </c>
      <c r="D23" s="46"/>
      <c r="E23" s="35">
        <f t="shared" si="0"/>
        <v>45000</v>
      </c>
      <c r="F23" s="54">
        <f t="shared" si="1"/>
        <v>2.2791214746422415</v>
      </c>
    </row>
    <row r="24" spans="2:6" ht="12.75">
      <c r="B24" s="48"/>
      <c r="C24" s="48"/>
      <c r="D24" s="48"/>
      <c r="E24" s="35"/>
      <c r="F24" s="54"/>
    </row>
    <row r="25" spans="1:7" ht="13.5" thickBot="1">
      <c r="A25" s="7" t="s">
        <v>140</v>
      </c>
      <c r="B25" s="180">
        <f>SUM(B11:B24)</f>
        <v>1159495</v>
      </c>
      <c r="C25" s="180">
        <f>SUM(C11:C24)</f>
        <v>611208</v>
      </c>
      <c r="D25" s="180">
        <f>SUM(D11:D24)</f>
        <v>203742</v>
      </c>
      <c r="E25" s="180">
        <f>SUM(E11:E24)</f>
        <v>1974445</v>
      </c>
      <c r="F25" s="199">
        <f>SUM(F11:F24)</f>
        <v>100</v>
      </c>
      <c r="G25" s="166"/>
    </row>
    <row r="26" ht="13.5" thickTop="1"/>
    <row r="27" ht="12.75">
      <c r="D27" s="35"/>
    </row>
    <row r="28" ht="12.75">
      <c r="D28" s="35"/>
    </row>
    <row r="49" ht="12.75">
      <c r="A49" s="11"/>
    </row>
    <row r="50" ht="12.75">
      <c r="A50" s="11"/>
    </row>
    <row r="51" spans="1:7" ht="12.75">
      <c r="A51" s="28"/>
      <c r="B51" s="196"/>
      <c r="C51" s="196"/>
      <c r="D51" s="196"/>
      <c r="E51" s="196"/>
      <c r="F51" s="196"/>
      <c r="G51" s="196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984251968503937" bottom="0.984251968503937" header="0" footer="0"/>
  <pageSetup horizontalDpi="600" verticalDpi="600" orientation="portrait" r:id="rId1"/>
  <headerFooter alignWithMargins="0"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6" sqref="E6"/>
    </sheetView>
  </sheetViews>
  <sheetFormatPr defaultColWidth="9.140625" defaultRowHeight="12.75"/>
  <cols>
    <col min="1" max="1" width="36.421875" style="2" customWidth="1"/>
    <col min="2" max="2" width="11.140625" style="33" customWidth="1"/>
    <col min="3" max="3" width="11.421875" style="33" customWidth="1"/>
    <col min="4" max="4" width="11.140625" style="33" customWidth="1"/>
    <col min="5" max="5" width="12.00390625" style="33" bestFit="1" customWidth="1"/>
    <col min="6" max="6" width="6.8515625" style="2" bestFit="1" customWidth="1"/>
    <col min="7" max="16384" width="11.421875" style="2" customWidth="1"/>
  </cols>
  <sheetData>
    <row r="1" spans="5:6" ht="13.5" thickBot="1">
      <c r="E1" s="275" t="s">
        <v>170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230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spans="2:5" ht="8.25" customHeight="1" thickBot="1">
      <c r="B6" s="2"/>
      <c r="C6" s="2"/>
      <c r="D6" s="2"/>
      <c r="E6" s="2"/>
    </row>
    <row r="7" spans="1:6" ht="12.75">
      <c r="A7" s="94"/>
      <c r="B7" s="94"/>
      <c r="C7" s="94"/>
      <c r="D7" s="94"/>
      <c r="E7" s="94"/>
      <c r="F7" s="95"/>
    </row>
    <row r="8" spans="1:6" ht="12.75">
      <c r="A8" s="96" t="s">
        <v>21</v>
      </c>
      <c r="B8" s="97" t="s">
        <v>478</v>
      </c>
      <c r="C8" s="97" t="s">
        <v>479</v>
      </c>
      <c r="D8" s="97" t="s">
        <v>499</v>
      </c>
      <c r="E8" s="96" t="s">
        <v>22</v>
      </c>
      <c r="F8" s="98" t="s">
        <v>23</v>
      </c>
    </row>
    <row r="9" spans="1:6" ht="13.5" thickBot="1">
      <c r="A9" s="99"/>
      <c r="B9" s="99"/>
      <c r="C9" s="99"/>
      <c r="D9" s="99"/>
      <c r="E9" s="99"/>
      <c r="F9" s="100"/>
    </row>
    <row r="10" spans="2:6" ht="6" customHeight="1">
      <c r="B10" s="34"/>
      <c r="C10" s="34"/>
      <c r="D10" s="34"/>
      <c r="E10" s="34"/>
      <c r="F10" s="3"/>
    </row>
    <row r="11" spans="2:6" ht="12.75" customHeight="1">
      <c r="B11" s="34"/>
      <c r="C11" s="34"/>
      <c r="D11" s="34"/>
      <c r="E11" s="34"/>
      <c r="F11" s="3"/>
    </row>
    <row r="12" spans="1:6" ht="12.75" customHeight="1">
      <c r="A12" s="2" t="s">
        <v>223</v>
      </c>
      <c r="B12" s="34"/>
      <c r="C12" s="167">
        <v>3200000</v>
      </c>
      <c r="D12" s="34"/>
      <c r="E12" s="48">
        <f>SUM(B12:D12)</f>
        <v>3200000</v>
      </c>
      <c r="F12" s="54">
        <f>(E12/$E$18*100)</f>
        <v>9.034743198139235</v>
      </c>
    </row>
    <row r="13" spans="1:6" ht="12.75">
      <c r="A13" s="2" t="s">
        <v>115</v>
      </c>
      <c r="B13" s="167">
        <f>1608237.5-379617.1</f>
        <v>1228620.4</v>
      </c>
      <c r="C13" s="167">
        <v>2580855.2</v>
      </c>
      <c r="D13" s="48">
        <f>-10000-10000-6002.15-1328.04</f>
        <v>-27330.190000000002</v>
      </c>
      <c r="E13" s="48">
        <f>SUM(B13:D13)</f>
        <v>3782145.41</v>
      </c>
      <c r="F13" s="54">
        <f>(E13/$E$18*100)</f>
        <v>10.678347661678446</v>
      </c>
    </row>
    <row r="14" spans="1:6" ht="12.75">
      <c r="A14" s="2" t="s">
        <v>263</v>
      </c>
      <c r="B14" s="167"/>
      <c r="C14" s="167"/>
      <c r="D14" s="48">
        <v>120535.05</v>
      </c>
      <c r="E14" s="48">
        <f>SUM(B14:D14)</f>
        <v>120535.05</v>
      </c>
      <c r="F14" s="54">
        <f>(E14/$E$18*100)</f>
        <v>0.34031350722652265</v>
      </c>
    </row>
    <row r="15" spans="1:6" ht="12.75">
      <c r="A15" s="2" t="s">
        <v>264</v>
      </c>
      <c r="B15" s="167">
        <v>4809727.32</v>
      </c>
      <c r="C15" s="167"/>
      <c r="D15" s="48"/>
      <c r="E15" s="48">
        <f>SUM(B15:D15)</f>
        <v>4809727.32</v>
      </c>
      <c r="F15" s="54">
        <f>(E15/$E$18*100)</f>
        <v>13.579578496648267</v>
      </c>
    </row>
    <row r="16" spans="1:6" ht="12.75">
      <c r="A16" s="2" t="s">
        <v>176</v>
      </c>
      <c r="B16" s="167">
        <v>1840000</v>
      </c>
      <c r="C16" s="167">
        <v>12810500</v>
      </c>
      <c r="D16" s="48">
        <f>5950000+2905918.52</f>
        <v>8855918.52</v>
      </c>
      <c r="E16" s="48">
        <f>SUM(B16:D16)</f>
        <v>23506418.52</v>
      </c>
      <c r="F16" s="54">
        <f>(E16/$E$18*100)</f>
        <v>66.36701713630754</v>
      </c>
    </row>
    <row r="17" spans="2:6" ht="12.75">
      <c r="B17" s="48"/>
      <c r="C17" s="48"/>
      <c r="D17" s="35"/>
      <c r="E17" s="48"/>
      <c r="F17" s="54"/>
    </row>
    <row r="18" spans="1:6" ht="13.5" thickBot="1">
      <c r="A18" s="7" t="s">
        <v>140</v>
      </c>
      <c r="B18" s="116">
        <f>SUM(B12:B16)</f>
        <v>7878347.720000001</v>
      </c>
      <c r="C18" s="116">
        <f>SUM(C12:C16)</f>
        <v>18591355.2</v>
      </c>
      <c r="D18" s="116">
        <f>SUM(D12:D16)</f>
        <v>8949123.379999999</v>
      </c>
      <c r="E18" s="116">
        <f>SUM(E12:E16)</f>
        <v>35418826.3</v>
      </c>
      <c r="F18" s="116">
        <f>SUM(F12:F16)</f>
        <v>100.00000000000001</v>
      </c>
    </row>
    <row r="19" ht="13.5" thickTop="1"/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984251968503937" bottom="0.984251968503937" header="0" footer="0"/>
  <pageSetup horizontalDpi="600" verticalDpi="600" orientation="portrait" r:id="rId1"/>
  <headerFooter alignWithMargins="0"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6.7109375" style="0" customWidth="1"/>
    <col min="3" max="3" width="11.28125" style="0" customWidth="1"/>
    <col min="4" max="4" width="13.28125" style="0" customWidth="1"/>
    <col min="5" max="5" width="2.28125" style="0" customWidth="1"/>
    <col min="6" max="16384" width="11.421875" style="0" customWidth="1"/>
  </cols>
  <sheetData>
    <row r="1" spans="1:5" ht="13.5" thickBot="1">
      <c r="A1" s="2"/>
      <c r="B1" s="2"/>
      <c r="C1" s="4"/>
      <c r="D1" s="40" t="s">
        <v>18</v>
      </c>
      <c r="E1" s="2"/>
    </row>
    <row r="2" spans="1:5" ht="15">
      <c r="A2" s="261" t="s">
        <v>19</v>
      </c>
      <c r="B2" s="262"/>
      <c r="C2" s="262"/>
      <c r="D2" s="263"/>
      <c r="E2" s="2"/>
    </row>
    <row r="3" spans="1:5" ht="15">
      <c r="A3" s="267" t="s">
        <v>20</v>
      </c>
      <c r="B3" s="268"/>
      <c r="C3" s="268"/>
      <c r="D3" s="269"/>
      <c r="E3" s="2"/>
    </row>
    <row r="4" spans="1:5" ht="15.75" thickBot="1">
      <c r="A4" s="270" t="s">
        <v>526</v>
      </c>
      <c r="B4" s="271"/>
      <c r="C4" s="271"/>
      <c r="D4" s="272"/>
      <c r="E4" s="2"/>
    </row>
    <row r="5" spans="1:5" ht="13.5" thickBot="1">
      <c r="A5" s="2"/>
      <c r="B5" s="2"/>
      <c r="C5" s="4"/>
      <c r="D5" s="33"/>
      <c r="E5" s="2"/>
    </row>
    <row r="6" spans="1:5" ht="12.75">
      <c r="A6" s="168"/>
      <c r="B6" s="168"/>
      <c r="C6" s="95"/>
      <c r="D6" s="169"/>
      <c r="E6" s="2"/>
    </row>
    <row r="7" spans="1:5" ht="12.75">
      <c r="A7" s="98" t="s">
        <v>253</v>
      </c>
      <c r="B7" s="98" t="s">
        <v>171</v>
      </c>
      <c r="C7" s="98" t="s">
        <v>139</v>
      </c>
      <c r="D7" s="106" t="s">
        <v>22</v>
      </c>
      <c r="E7" s="2"/>
    </row>
    <row r="8" spans="1:5" ht="13.5" thickBot="1">
      <c r="A8" s="100"/>
      <c r="B8" s="100"/>
      <c r="C8" s="100"/>
      <c r="D8" s="108"/>
      <c r="E8" s="2"/>
    </row>
    <row r="9" spans="1:5" ht="12.75">
      <c r="A9" s="3"/>
      <c r="B9" s="3"/>
      <c r="C9" s="3"/>
      <c r="D9" s="34"/>
      <c r="E9" s="2"/>
    </row>
    <row r="10" spans="1:5" ht="12.75">
      <c r="A10" s="170" t="s">
        <v>372</v>
      </c>
      <c r="B10" s="10"/>
      <c r="C10" s="171"/>
      <c r="D10" s="34"/>
      <c r="E10" s="2"/>
    </row>
    <row r="11" spans="1:5" ht="12.75">
      <c r="A11" s="170"/>
      <c r="B11" s="10"/>
      <c r="C11" s="171"/>
      <c r="D11" s="34"/>
      <c r="E11" s="2"/>
    </row>
    <row r="12" spans="1:5" ht="12.75">
      <c r="A12" s="10" t="s">
        <v>218</v>
      </c>
      <c r="B12" s="10" t="s">
        <v>274</v>
      </c>
      <c r="C12" s="171">
        <v>65500611576</v>
      </c>
      <c r="D12" s="45">
        <v>-51130</v>
      </c>
      <c r="E12" s="21" t="s">
        <v>25</v>
      </c>
    </row>
    <row r="13" spans="1:5" ht="12.75">
      <c r="A13" s="10" t="s">
        <v>219</v>
      </c>
      <c r="B13" s="10" t="s">
        <v>274</v>
      </c>
      <c r="C13" s="171">
        <v>65501323444</v>
      </c>
      <c r="D13" s="45">
        <v>747839.6</v>
      </c>
      <c r="E13" s="21" t="s">
        <v>26</v>
      </c>
    </row>
    <row r="14" spans="1:5" ht="12.75">
      <c r="A14" s="10" t="s">
        <v>141</v>
      </c>
      <c r="B14" s="10" t="s">
        <v>274</v>
      </c>
      <c r="C14" s="171">
        <v>65500611562</v>
      </c>
      <c r="D14" s="45">
        <v>218430.83</v>
      </c>
      <c r="E14" s="21" t="s">
        <v>26</v>
      </c>
    </row>
    <row r="15" spans="1:5" ht="12.75">
      <c r="A15" s="10" t="s">
        <v>220</v>
      </c>
      <c r="B15" s="10" t="s">
        <v>274</v>
      </c>
      <c r="C15" s="171">
        <v>65500611653</v>
      </c>
      <c r="D15" s="45">
        <v>-727285.01</v>
      </c>
      <c r="E15" s="21" t="s">
        <v>26</v>
      </c>
    </row>
    <row r="16" spans="1:5" ht="12.75">
      <c r="A16" s="9" t="s">
        <v>281</v>
      </c>
      <c r="B16" s="10" t="s">
        <v>274</v>
      </c>
      <c r="C16" s="171">
        <v>65501599264</v>
      </c>
      <c r="D16" s="45">
        <v>-365958</v>
      </c>
      <c r="E16" s="21" t="s">
        <v>25</v>
      </c>
    </row>
    <row r="17" spans="1:5" ht="12.75">
      <c r="A17" s="10" t="s">
        <v>282</v>
      </c>
      <c r="B17" s="10" t="s">
        <v>274</v>
      </c>
      <c r="C17" s="171">
        <v>65501608150</v>
      </c>
      <c r="D17" s="45">
        <v>-11948.85</v>
      </c>
      <c r="E17" s="21" t="s">
        <v>25</v>
      </c>
    </row>
    <row r="18" spans="1:5" ht="12.75">
      <c r="A18" s="10" t="s">
        <v>317</v>
      </c>
      <c r="B18" s="10" t="s">
        <v>274</v>
      </c>
      <c r="C18" s="171">
        <v>65501752447</v>
      </c>
      <c r="D18" s="45">
        <v>3567.83</v>
      </c>
      <c r="E18" s="2"/>
    </row>
    <row r="19" spans="1:5" ht="12.75">
      <c r="A19" s="9" t="s">
        <v>283</v>
      </c>
      <c r="B19" s="10" t="s">
        <v>274</v>
      </c>
      <c r="C19" s="171">
        <v>65501752416</v>
      </c>
      <c r="D19" s="45">
        <v>-1139939.13</v>
      </c>
      <c r="E19" s="21" t="s">
        <v>29</v>
      </c>
    </row>
    <row r="20" spans="1:5" ht="12.75">
      <c r="A20" s="9" t="s">
        <v>218</v>
      </c>
      <c r="B20" s="10" t="s">
        <v>274</v>
      </c>
      <c r="C20" s="171">
        <v>65501752433</v>
      </c>
      <c r="D20" s="45">
        <v>994799.25</v>
      </c>
      <c r="E20" s="21"/>
    </row>
    <row r="21" spans="1:5" ht="12.75">
      <c r="A21" s="10" t="s">
        <v>318</v>
      </c>
      <c r="B21" s="10" t="s">
        <v>274</v>
      </c>
      <c r="C21" s="171">
        <v>65501761036</v>
      </c>
      <c r="D21" s="45">
        <v>-1260735.57</v>
      </c>
      <c r="E21" s="21" t="s">
        <v>29</v>
      </c>
    </row>
    <row r="22" spans="1:5" ht="12.75">
      <c r="A22" s="10" t="s">
        <v>410</v>
      </c>
      <c r="B22" s="10" t="s">
        <v>274</v>
      </c>
      <c r="C22" s="171">
        <v>65501790364</v>
      </c>
      <c r="D22" s="45">
        <v>1868360.79</v>
      </c>
      <c r="E22" s="2"/>
    </row>
    <row r="23" spans="1:5" ht="12.75">
      <c r="A23" s="9" t="s">
        <v>231</v>
      </c>
      <c r="B23" s="10" t="s">
        <v>275</v>
      </c>
      <c r="C23" s="171" t="s">
        <v>144</v>
      </c>
      <c r="D23" s="45">
        <v>373495.49</v>
      </c>
      <c r="E23" s="2"/>
    </row>
    <row r="24" spans="1:5" ht="12.75">
      <c r="A24" s="9" t="s">
        <v>413</v>
      </c>
      <c r="B24" s="10" t="s">
        <v>276</v>
      </c>
      <c r="C24" s="171">
        <v>4031053267</v>
      </c>
      <c r="D24" s="45">
        <v>9993.11</v>
      </c>
      <c r="E24" s="2"/>
    </row>
    <row r="25" spans="1:5" ht="12.75">
      <c r="A25" s="9" t="s">
        <v>218</v>
      </c>
      <c r="B25" s="10" t="s">
        <v>274</v>
      </c>
      <c r="C25" s="171">
        <v>51908075257</v>
      </c>
      <c r="D25" s="45">
        <v>-21347.67</v>
      </c>
      <c r="E25" s="21" t="s">
        <v>26</v>
      </c>
    </row>
    <row r="26" spans="1:5" ht="12.75">
      <c r="A26" s="9" t="s">
        <v>218</v>
      </c>
      <c r="B26" s="10" t="s">
        <v>158</v>
      </c>
      <c r="C26" s="172" t="s">
        <v>195</v>
      </c>
      <c r="D26" s="45">
        <v>-134767</v>
      </c>
      <c r="E26" s="21" t="s">
        <v>25</v>
      </c>
    </row>
    <row r="27" spans="1:5" ht="12.75">
      <c r="A27" s="9" t="s">
        <v>284</v>
      </c>
      <c r="B27" s="10" t="s">
        <v>158</v>
      </c>
      <c r="C27" s="172" t="s">
        <v>287</v>
      </c>
      <c r="D27" s="45">
        <v>3443550.93</v>
      </c>
      <c r="E27" s="2"/>
    </row>
    <row r="28" spans="1:5" ht="12.75">
      <c r="A28" s="9" t="s">
        <v>284</v>
      </c>
      <c r="B28" s="10" t="s">
        <v>158</v>
      </c>
      <c r="C28" s="172" t="s">
        <v>316</v>
      </c>
      <c r="D28" s="45">
        <v>1152969.52</v>
      </c>
      <c r="E28" s="21"/>
    </row>
    <row r="29" spans="1:5" ht="12.75">
      <c r="A29" s="9" t="s">
        <v>283</v>
      </c>
      <c r="B29" s="10" t="s">
        <v>158</v>
      </c>
      <c r="C29" s="172" t="s">
        <v>362</v>
      </c>
      <c r="D29" s="45">
        <v>209087.44</v>
      </c>
      <c r="E29" s="2"/>
    </row>
    <row r="30" spans="1:5" ht="12.75">
      <c r="A30" s="9" t="s">
        <v>448</v>
      </c>
      <c r="B30" s="10" t="s">
        <v>274</v>
      </c>
      <c r="C30" s="171">
        <v>65501896472</v>
      </c>
      <c r="D30" s="45">
        <v>66658.95</v>
      </c>
      <c r="E30" s="2"/>
    </row>
    <row r="31" spans="1:5" ht="12.75">
      <c r="A31" s="10" t="s">
        <v>485</v>
      </c>
      <c r="B31" s="10" t="s">
        <v>274</v>
      </c>
      <c r="C31" s="171">
        <v>65501928095</v>
      </c>
      <c r="D31" s="45">
        <v>183438.65</v>
      </c>
      <c r="E31" s="2"/>
    </row>
    <row r="32" spans="1:5" ht="12.75">
      <c r="A32" s="2"/>
      <c r="B32" s="2"/>
      <c r="C32" s="4"/>
      <c r="D32" s="33"/>
      <c r="E32" s="2"/>
    </row>
    <row r="33" spans="1:5" ht="12.75">
      <c r="A33" s="7" t="s">
        <v>196</v>
      </c>
      <c r="B33" s="2"/>
      <c r="C33" s="4"/>
      <c r="D33" s="128">
        <f>SUM(D12:D32)</f>
        <v>5559081.160000001</v>
      </c>
      <c r="E33" s="2"/>
    </row>
    <row r="34" spans="1:5" ht="12.75">
      <c r="A34" s="2"/>
      <c r="B34" s="2"/>
      <c r="C34" s="4"/>
      <c r="D34" s="33"/>
      <c r="E34" s="2"/>
    </row>
    <row r="35" spans="1:5" ht="12.75">
      <c r="A35" s="11" t="s">
        <v>252</v>
      </c>
      <c r="B35" s="2"/>
      <c r="C35" s="4"/>
      <c r="D35" s="33"/>
      <c r="E35" s="2"/>
    </row>
    <row r="36" spans="1:5" ht="12.75">
      <c r="A36" s="2"/>
      <c r="B36" s="2"/>
      <c r="C36" s="4"/>
      <c r="D36" s="33"/>
      <c r="E36" s="2"/>
    </row>
    <row r="37" spans="1:5" ht="12.75">
      <c r="A37" s="10" t="s">
        <v>232</v>
      </c>
      <c r="B37" s="10" t="s">
        <v>274</v>
      </c>
      <c r="C37" s="172" t="s">
        <v>377</v>
      </c>
      <c r="D37" s="45">
        <v>378.4</v>
      </c>
      <c r="E37" s="2"/>
    </row>
    <row r="38" spans="1:5" ht="12.75">
      <c r="A38" s="2"/>
      <c r="B38" s="2"/>
      <c r="C38" s="4"/>
      <c r="D38" s="33"/>
      <c r="E38" s="2"/>
    </row>
    <row r="39" spans="1:5" ht="12.75">
      <c r="A39" s="7" t="s">
        <v>234</v>
      </c>
      <c r="B39" s="2"/>
      <c r="C39" s="4"/>
      <c r="D39" s="156">
        <f>SUM(D37:D38)</f>
        <v>378.4</v>
      </c>
      <c r="E39" s="2"/>
    </row>
    <row r="40" spans="1:5" ht="12.75">
      <c r="A40" s="7"/>
      <c r="B40" s="2"/>
      <c r="C40" s="4"/>
      <c r="D40" s="120"/>
      <c r="E40" s="2"/>
    </row>
    <row r="41" spans="1:5" ht="12.75">
      <c r="A41" s="7"/>
      <c r="B41" s="2"/>
      <c r="C41" s="4"/>
      <c r="D41" s="120"/>
      <c r="E41" s="2"/>
    </row>
    <row r="42" spans="1:5" ht="12.75">
      <c r="A42" s="7"/>
      <c r="B42" s="2"/>
      <c r="C42" s="4"/>
      <c r="D42" s="120"/>
      <c r="E42" s="2"/>
    </row>
    <row r="43" spans="1:5" ht="12.75">
      <c r="A43" s="7"/>
      <c r="B43" s="2"/>
      <c r="C43" s="4"/>
      <c r="D43" s="120"/>
      <c r="E43" s="2"/>
    </row>
    <row r="44" spans="1:5" ht="12.75">
      <c r="A44" s="7"/>
      <c r="B44" s="2"/>
      <c r="C44" s="4"/>
      <c r="D44" s="120"/>
      <c r="E44" s="2"/>
    </row>
    <row r="45" spans="1:5" ht="12.75">
      <c r="A45" s="7"/>
      <c r="B45" s="2"/>
      <c r="C45" s="4"/>
      <c r="D45" s="120"/>
      <c r="E45" s="2"/>
    </row>
    <row r="46" spans="1:5" ht="12.75">
      <c r="A46" s="7"/>
      <c r="B46" s="2"/>
      <c r="C46" s="4"/>
      <c r="D46" s="120"/>
      <c r="E46" s="2"/>
    </row>
    <row r="47" spans="1:5" ht="12.75">
      <c r="A47" s="7"/>
      <c r="B47" s="2"/>
      <c r="C47" s="4"/>
      <c r="D47" s="120"/>
      <c r="E47" s="2"/>
    </row>
    <row r="48" spans="1:5" ht="12.75">
      <c r="A48" s="7"/>
      <c r="B48" s="2"/>
      <c r="C48" s="4"/>
      <c r="D48" s="120"/>
      <c r="E48" s="2"/>
    </row>
    <row r="49" spans="1:5" ht="12.75">
      <c r="A49" s="7"/>
      <c r="B49" s="2"/>
      <c r="C49" s="4"/>
      <c r="D49" s="120"/>
      <c r="E49" s="2"/>
    </row>
    <row r="50" spans="1:5" ht="12.75">
      <c r="A50" s="7"/>
      <c r="B50" s="2"/>
      <c r="C50" s="4"/>
      <c r="D50" s="120"/>
      <c r="E50" s="2"/>
    </row>
    <row r="51" spans="1:5" ht="12.75">
      <c r="A51" s="7"/>
      <c r="B51" s="2"/>
      <c r="C51" s="4"/>
      <c r="D51" s="120"/>
      <c r="E51" s="2"/>
    </row>
    <row r="52" spans="1:5" ht="13.5" thickBot="1">
      <c r="A52" s="2"/>
      <c r="B52" s="2"/>
      <c r="C52" s="4"/>
      <c r="D52" s="40" t="s">
        <v>18</v>
      </c>
      <c r="E52" s="2"/>
    </row>
    <row r="53" spans="1:5" ht="15">
      <c r="A53" s="261" t="s">
        <v>19</v>
      </c>
      <c r="B53" s="262"/>
      <c r="C53" s="262"/>
      <c r="D53" s="263"/>
      <c r="E53" s="2"/>
    </row>
    <row r="54" spans="1:5" ht="15">
      <c r="A54" s="267" t="s">
        <v>20</v>
      </c>
      <c r="B54" s="268"/>
      <c r="C54" s="268"/>
      <c r="D54" s="269"/>
      <c r="E54" s="2"/>
    </row>
    <row r="55" spans="1:5" ht="15.75" thickBot="1">
      <c r="A55" s="270" t="s">
        <v>526</v>
      </c>
      <c r="B55" s="271"/>
      <c r="C55" s="271"/>
      <c r="D55" s="272"/>
      <c r="E55" s="2"/>
    </row>
    <row r="56" spans="1:5" ht="13.5" thickBot="1">
      <c r="A56" s="2"/>
      <c r="B56" s="2"/>
      <c r="C56" s="4"/>
      <c r="D56" s="33"/>
      <c r="E56" s="2"/>
    </row>
    <row r="57" spans="1:5" ht="12.75">
      <c r="A57" s="168"/>
      <c r="B57" s="168"/>
      <c r="C57" s="95"/>
      <c r="D57" s="169"/>
      <c r="E57" s="2"/>
    </row>
    <row r="58" spans="1:5" ht="12.75">
      <c r="A58" s="98" t="s">
        <v>253</v>
      </c>
      <c r="B58" s="98" t="s">
        <v>171</v>
      </c>
      <c r="C58" s="98" t="s">
        <v>139</v>
      </c>
      <c r="D58" s="106" t="s">
        <v>22</v>
      </c>
      <c r="E58" s="2"/>
    </row>
    <row r="59" spans="1:5" ht="13.5" thickBot="1">
      <c r="A59" s="100"/>
      <c r="B59" s="100"/>
      <c r="C59" s="100"/>
      <c r="D59" s="108"/>
      <c r="E59" s="2"/>
    </row>
    <row r="60" spans="1:5" ht="12.75">
      <c r="A60" s="3"/>
      <c r="B60" s="3"/>
      <c r="C60" s="3"/>
      <c r="D60" s="34"/>
      <c r="E60" s="2"/>
    </row>
    <row r="61" spans="1:5" ht="12.75">
      <c r="A61" s="11" t="s">
        <v>235</v>
      </c>
      <c r="B61" s="2"/>
      <c r="C61" s="4"/>
      <c r="D61" s="33"/>
      <c r="E61" s="2"/>
    </row>
    <row r="62" spans="1:5" ht="12.75">
      <c r="A62" s="2"/>
      <c r="B62" s="2"/>
      <c r="C62" s="4"/>
      <c r="D62" s="33"/>
      <c r="E62" s="2"/>
    </row>
    <row r="63" spans="1:5" ht="12.75">
      <c r="A63" s="9" t="s">
        <v>233</v>
      </c>
      <c r="B63" s="10" t="s">
        <v>274</v>
      </c>
      <c r="C63" s="171" t="s">
        <v>142</v>
      </c>
      <c r="D63" s="45">
        <v>15924.05</v>
      </c>
      <c r="E63" s="21" t="s">
        <v>373</v>
      </c>
    </row>
    <row r="64" spans="1:5" ht="12.75">
      <c r="A64" s="9" t="s">
        <v>236</v>
      </c>
      <c r="B64" s="10" t="s">
        <v>274</v>
      </c>
      <c r="C64" s="171" t="s">
        <v>143</v>
      </c>
      <c r="D64" s="45">
        <v>896725.28</v>
      </c>
      <c r="E64" s="21" t="s">
        <v>374</v>
      </c>
    </row>
    <row r="65" spans="1:5" ht="12.75">
      <c r="A65" s="10" t="s">
        <v>146</v>
      </c>
      <c r="B65" s="10" t="s">
        <v>274</v>
      </c>
      <c r="C65" s="171" t="s">
        <v>147</v>
      </c>
      <c r="D65" s="45">
        <v>19975854.3</v>
      </c>
      <c r="E65" s="2"/>
    </row>
    <row r="66" spans="1:5" ht="12.75">
      <c r="A66" s="10" t="s">
        <v>104</v>
      </c>
      <c r="B66" s="10" t="s">
        <v>277</v>
      </c>
      <c r="C66" s="171" t="s">
        <v>145</v>
      </c>
      <c r="D66" s="45">
        <v>2067.5</v>
      </c>
      <c r="E66" s="2"/>
    </row>
    <row r="67" spans="1:5" ht="12.75">
      <c r="A67" s="10" t="s">
        <v>221</v>
      </c>
      <c r="B67" s="10" t="s">
        <v>278</v>
      </c>
      <c r="C67" s="171" t="s">
        <v>149</v>
      </c>
      <c r="D67" s="45">
        <v>2086584.73</v>
      </c>
      <c r="E67" s="2"/>
    </row>
    <row r="68" spans="1:5" ht="12.75">
      <c r="A68" s="10" t="s">
        <v>160</v>
      </c>
      <c r="B68" s="10" t="s">
        <v>274</v>
      </c>
      <c r="C68" s="171" t="s">
        <v>159</v>
      </c>
      <c r="D68" s="45">
        <v>1178113.88</v>
      </c>
      <c r="E68" s="2"/>
    </row>
    <row r="69" spans="1:5" ht="12.75">
      <c r="A69" s="10" t="s">
        <v>414</v>
      </c>
      <c r="B69" s="10" t="s">
        <v>274</v>
      </c>
      <c r="C69" s="171" t="s">
        <v>415</v>
      </c>
      <c r="D69" s="45">
        <v>39187.69</v>
      </c>
      <c r="E69" s="2"/>
    </row>
    <row r="70" spans="1:5" ht="12.75">
      <c r="A70" s="10" t="s">
        <v>363</v>
      </c>
      <c r="B70" s="10" t="s">
        <v>274</v>
      </c>
      <c r="C70" s="171">
        <v>82500274581</v>
      </c>
      <c r="D70" s="45">
        <v>507515.85</v>
      </c>
      <c r="E70" s="21" t="s">
        <v>375</v>
      </c>
    </row>
    <row r="71" spans="1:5" ht="12.75">
      <c r="A71" s="10" t="s">
        <v>365</v>
      </c>
      <c r="B71" s="10" t="s">
        <v>274</v>
      </c>
      <c r="C71" s="171" t="s">
        <v>364</v>
      </c>
      <c r="D71" s="45">
        <v>4899794.56</v>
      </c>
      <c r="E71" s="2"/>
    </row>
    <row r="72" spans="1:5" ht="12.75">
      <c r="A72" s="10" t="s">
        <v>222</v>
      </c>
      <c r="B72" s="10" t="s">
        <v>274</v>
      </c>
      <c r="C72" s="171" t="s">
        <v>148</v>
      </c>
      <c r="D72" s="45">
        <v>1129420.78</v>
      </c>
      <c r="E72" s="2"/>
    </row>
    <row r="73" spans="1:5" ht="12.75">
      <c r="A73" s="10" t="s">
        <v>438</v>
      </c>
      <c r="B73" s="10" t="s">
        <v>274</v>
      </c>
      <c r="C73" s="171" t="s">
        <v>439</v>
      </c>
      <c r="D73" s="45">
        <v>28167720.4</v>
      </c>
      <c r="E73" s="2"/>
    </row>
    <row r="74" spans="1:5" ht="12.75">
      <c r="A74" s="10" t="s">
        <v>436</v>
      </c>
      <c r="B74" s="10" t="s">
        <v>274</v>
      </c>
      <c r="C74" s="171" t="s">
        <v>440</v>
      </c>
      <c r="D74" s="45">
        <v>14941051.27</v>
      </c>
      <c r="E74" s="2"/>
    </row>
    <row r="75" spans="1:5" ht="12.75">
      <c r="A75" s="2"/>
      <c r="B75" s="2"/>
      <c r="C75" s="2"/>
      <c r="D75" s="2"/>
      <c r="E75" s="2"/>
    </row>
    <row r="76" spans="1:5" ht="12.75">
      <c r="A76" s="11" t="s">
        <v>237</v>
      </c>
      <c r="B76" s="2"/>
      <c r="C76" s="4"/>
      <c r="D76" s="156">
        <f>SUM(D63:D75)</f>
        <v>73839960.29</v>
      </c>
      <c r="E76" s="2"/>
    </row>
    <row r="77" spans="1:5" ht="12.75">
      <c r="A77" s="7"/>
      <c r="B77" s="7"/>
      <c r="C77" s="171"/>
      <c r="D77" s="50"/>
      <c r="E77" s="2"/>
    </row>
    <row r="78" spans="1:5" ht="13.5" thickBot="1">
      <c r="A78" s="7" t="s">
        <v>150</v>
      </c>
      <c r="B78" s="10"/>
      <c r="C78" s="16" t="s">
        <v>151</v>
      </c>
      <c r="D78" s="139">
        <f>SUM(D33+D39+D76)</f>
        <v>79399419.85000001</v>
      </c>
      <c r="E78" s="2"/>
    </row>
    <row r="79" ht="13.5" thickTop="1"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7"/>
      <c r="B82" s="10"/>
      <c r="C82" s="16"/>
      <c r="D82" s="51"/>
      <c r="E82" s="2"/>
    </row>
    <row r="83" spans="1:5" ht="12.75">
      <c r="A83" s="2"/>
      <c r="B83" s="10"/>
      <c r="C83" s="16"/>
      <c r="D83" s="51"/>
      <c r="E83" s="2"/>
    </row>
    <row r="84" spans="1:5" ht="12.75">
      <c r="A84" s="11" t="s">
        <v>31</v>
      </c>
      <c r="B84" s="28"/>
      <c r="C84" s="28"/>
      <c r="D84" s="173"/>
      <c r="E84" s="2"/>
    </row>
    <row r="85" spans="1:5" ht="12.75">
      <c r="A85" s="2"/>
      <c r="B85" s="28"/>
      <c r="C85" s="28"/>
      <c r="D85" s="173"/>
      <c r="E85" s="2"/>
    </row>
    <row r="86" spans="1:5" ht="12.75">
      <c r="A86" s="28" t="s">
        <v>453</v>
      </c>
      <c r="B86" s="28"/>
      <c r="C86" s="28"/>
      <c r="D86" s="173"/>
      <c r="E86" s="2"/>
    </row>
    <row r="87" spans="1:5" ht="12.75">
      <c r="A87" s="28" t="s">
        <v>454</v>
      </c>
      <c r="B87" s="10"/>
      <c r="C87" s="16"/>
      <c r="D87" s="51"/>
      <c r="E87" s="2"/>
    </row>
    <row r="88" spans="1:5" ht="12.75">
      <c r="A88" s="28" t="s">
        <v>527</v>
      </c>
      <c r="B88" s="10"/>
      <c r="C88" s="16"/>
      <c r="D88" s="51"/>
      <c r="E88" s="2"/>
    </row>
    <row r="89" spans="1:5" ht="12.75">
      <c r="A89" s="121" t="s">
        <v>376</v>
      </c>
      <c r="B89" s="10"/>
      <c r="C89" s="16"/>
      <c r="D89" s="51"/>
      <c r="E89" s="2"/>
    </row>
    <row r="90" spans="1:5" ht="12.75">
      <c r="A90" s="28" t="s">
        <v>528</v>
      </c>
      <c r="B90" s="10"/>
      <c r="C90" s="16"/>
      <c r="D90" s="51"/>
      <c r="E90" s="2"/>
    </row>
    <row r="91" spans="1:5" ht="12.75">
      <c r="A91" s="28" t="s">
        <v>529</v>
      </c>
      <c r="B91" s="10"/>
      <c r="C91" s="16"/>
      <c r="D91" s="51"/>
      <c r="E91" s="2"/>
    </row>
    <row r="92" spans="1:5" ht="12.75">
      <c r="A92" s="28" t="s">
        <v>530</v>
      </c>
      <c r="B92" s="10"/>
      <c r="C92" s="16"/>
      <c r="D92" s="51"/>
      <c r="E92" s="2"/>
    </row>
  </sheetData>
  <mergeCells count="6">
    <mergeCell ref="A54:D54"/>
    <mergeCell ref="A55:D55"/>
    <mergeCell ref="A2:D2"/>
    <mergeCell ref="A3:D3"/>
    <mergeCell ref="A4:D4"/>
    <mergeCell ref="A53:D5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 topLeftCell="A24">
      <selection activeCell="E51" sqref="E51:F51"/>
    </sheetView>
  </sheetViews>
  <sheetFormatPr defaultColWidth="9.140625" defaultRowHeight="12.75"/>
  <cols>
    <col min="1" max="1" width="4.421875" style="2" customWidth="1"/>
    <col min="2" max="2" width="27.8515625" style="2" customWidth="1"/>
    <col min="3" max="4" width="12.8515625" style="2" bestFit="1" customWidth="1"/>
    <col min="5" max="5" width="12.140625" style="2" bestFit="1" customWidth="1"/>
    <col min="6" max="6" width="14.00390625" style="2" bestFit="1" customWidth="1"/>
    <col min="7" max="7" width="6.57421875" style="2" bestFit="1" customWidth="1"/>
    <col min="8" max="8" width="2.8515625" style="2" customWidth="1"/>
    <col min="9" max="9" width="4.7109375" style="2" customWidth="1"/>
    <col min="10" max="16384" width="11.421875" style="2" customWidth="1"/>
  </cols>
  <sheetData>
    <row r="1" spans="6:7" ht="12.75" customHeight="1" thickBot="1">
      <c r="F1" s="275" t="s">
        <v>3</v>
      </c>
      <c r="G1" s="275"/>
    </row>
    <row r="2" spans="1:7" ht="13.5" customHeight="1">
      <c r="A2" s="261" t="s">
        <v>19</v>
      </c>
      <c r="B2" s="262"/>
      <c r="C2" s="262"/>
      <c r="D2" s="262"/>
      <c r="E2" s="262"/>
      <c r="F2" s="262"/>
      <c r="G2" s="263"/>
    </row>
    <row r="3" spans="1:7" ht="13.5" customHeight="1">
      <c r="A3" s="264" t="s">
        <v>20</v>
      </c>
      <c r="B3" s="265"/>
      <c r="C3" s="265"/>
      <c r="D3" s="265"/>
      <c r="E3" s="265"/>
      <c r="F3" s="265"/>
      <c r="G3" s="266"/>
    </row>
    <row r="4" spans="1:7" ht="13.5" customHeight="1">
      <c r="A4" s="267" t="s">
        <v>224</v>
      </c>
      <c r="B4" s="268"/>
      <c r="C4" s="268"/>
      <c r="D4" s="268"/>
      <c r="E4" s="268"/>
      <c r="F4" s="268"/>
      <c r="G4" s="269"/>
    </row>
    <row r="5" spans="1:7" ht="13.5" customHeight="1" thickBot="1">
      <c r="A5" s="270" t="s">
        <v>500</v>
      </c>
      <c r="B5" s="271"/>
      <c r="C5" s="271"/>
      <c r="D5" s="271"/>
      <c r="E5" s="271"/>
      <c r="F5" s="271"/>
      <c r="G5" s="272"/>
    </row>
    <row r="6" ht="6" customHeight="1" thickBot="1"/>
    <row r="7" spans="1:7" ht="12.75">
      <c r="A7" s="225"/>
      <c r="B7" s="181"/>
      <c r="C7" s="94"/>
      <c r="D7" s="94"/>
      <c r="E7" s="181"/>
      <c r="F7" s="181"/>
      <c r="G7" s="95"/>
    </row>
    <row r="8" spans="1:7" ht="12.75">
      <c r="A8" s="276" t="s">
        <v>21</v>
      </c>
      <c r="B8" s="255"/>
      <c r="C8" s="97" t="s">
        <v>478</v>
      </c>
      <c r="D8" s="97" t="s">
        <v>479</v>
      </c>
      <c r="E8" s="97" t="s">
        <v>499</v>
      </c>
      <c r="F8" s="182" t="s">
        <v>22</v>
      </c>
      <c r="G8" s="98" t="s">
        <v>23</v>
      </c>
    </row>
    <row r="9" spans="1:7" ht="13.5" thickBot="1">
      <c r="A9" s="226"/>
      <c r="B9" s="183"/>
      <c r="C9" s="99"/>
      <c r="D9" s="99"/>
      <c r="E9" s="183"/>
      <c r="F9" s="183"/>
      <c r="G9" s="100"/>
    </row>
    <row r="10" ht="6" customHeight="1"/>
    <row r="11" spans="1:9" ht="12.75">
      <c r="A11" s="24" t="s">
        <v>24</v>
      </c>
      <c r="C11" s="13">
        <v>136298280</v>
      </c>
      <c r="D11" s="13">
        <f>151490646-19000000</f>
        <v>132490646</v>
      </c>
      <c r="E11" s="14">
        <v>77308346</v>
      </c>
      <c r="F11" s="15">
        <f>SUM(C11:E11)</f>
        <v>346097272</v>
      </c>
      <c r="G11" s="52">
        <f>F11/F21*100</f>
        <v>71.77745150943034</v>
      </c>
      <c r="H11" s="12"/>
      <c r="I11" s="12"/>
    </row>
    <row r="12" spans="1:9" ht="12.75">
      <c r="A12" s="24" t="s">
        <v>477</v>
      </c>
      <c r="C12" s="13">
        <v>4809727.32</v>
      </c>
      <c r="D12" s="13">
        <f>3472832+36489.09+695285.4+364879.15+45160.77</f>
        <v>4614646.41</v>
      </c>
      <c r="E12" s="14">
        <f>6007.96</f>
        <v>6007.96</v>
      </c>
      <c r="F12" s="15">
        <f>SUM(C12:E12)</f>
        <v>9430381.690000001</v>
      </c>
      <c r="G12" s="52">
        <f>F12/F21*100</f>
        <v>1.9557760757773175</v>
      </c>
      <c r="H12" s="12" t="s">
        <v>25</v>
      </c>
      <c r="I12" s="12"/>
    </row>
    <row r="13" spans="1:9" ht="6.75" customHeight="1">
      <c r="A13" s="24"/>
      <c r="C13" s="17"/>
      <c r="D13" s="17"/>
      <c r="E13" s="18"/>
      <c r="F13" s="19"/>
      <c r="G13" s="53"/>
      <c r="I13" s="24"/>
    </row>
    <row r="14" spans="1:9" ht="12.75">
      <c r="A14" s="227" t="s">
        <v>27</v>
      </c>
      <c r="B14" s="7"/>
      <c r="C14" s="18">
        <f>SUM(C11:C12)</f>
        <v>141108007.32</v>
      </c>
      <c r="D14" s="18">
        <f>SUM(D11:D12)</f>
        <v>137105292.41</v>
      </c>
      <c r="E14" s="18">
        <f>SUM(E11:E12)</f>
        <v>77314353.96</v>
      </c>
      <c r="F14" s="18">
        <f>SUM(F11:F12)</f>
        <v>355527653.69</v>
      </c>
      <c r="G14" s="192">
        <f>SUM(G11:G12)</f>
        <v>73.73322758520766</v>
      </c>
      <c r="I14" s="24"/>
    </row>
    <row r="15" spans="1:9" ht="6" customHeight="1">
      <c r="A15" s="24"/>
      <c r="C15" s="14"/>
      <c r="D15" s="14"/>
      <c r="E15" s="14"/>
      <c r="F15" s="5"/>
      <c r="G15" s="54"/>
      <c r="I15" s="24"/>
    </row>
    <row r="16" spans="1:9" ht="12.75">
      <c r="A16" s="9" t="s">
        <v>28</v>
      </c>
      <c r="B16" s="9"/>
      <c r="C16" s="14">
        <v>28000000</v>
      </c>
      <c r="D16" s="14">
        <v>65000000</v>
      </c>
      <c r="E16" s="14">
        <v>25000000</v>
      </c>
      <c r="F16" s="5">
        <f>SUM(C16:E16)</f>
        <v>118000000</v>
      </c>
      <c r="G16" s="54">
        <f>F16/F21*100</f>
        <v>24.472135331112288</v>
      </c>
      <c r="H16" s="12"/>
      <c r="I16" s="12"/>
    </row>
    <row r="17" spans="1:8" ht="12.75">
      <c r="A17" s="9" t="s">
        <v>468</v>
      </c>
      <c r="B17" s="9"/>
      <c r="C17" s="14"/>
      <c r="D17" s="14"/>
      <c r="E17" s="14">
        <v>8653400</v>
      </c>
      <c r="F17" s="5">
        <f>SUM(C17:E17)</f>
        <v>8653400</v>
      </c>
      <c r="G17" s="54">
        <f>F17/F21*100</f>
        <v>1.79463708368006</v>
      </c>
      <c r="H17" s="12" t="s">
        <v>26</v>
      </c>
    </row>
    <row r="18" spans="1:8" ht="6.75" customHeight="1">
      <c r="A18" s="9"/>
      <c r="B18" s="9"/>
      <c r="C18" s="18"/>
      <c r="D18" s="18"/>
      <c r="E18" s="18"/>
      <c r="F18" s="19"/>
      <c r="G18" s="53"/>
      <c r="H18" s="12"/>
    </row>
    <row r="19" spans="1:8" ht="12.75">
      <c r="A19" s="227" t="s">
        <v>30</v>
      </c>
      <c r="B19" s="7"/>
      <c r="C19" s="14">
        <f>SUM(C16:C17)</f>
        <v>28000000</v>
      </c>
      <c r="D19" s="14">
        <f>SUM(D16:D17)</f>
        <v>65000000</v>
      </c>
      <c r="E19" s="14">
        <f>SUM(E16:E17)</f>
        <v>33653400</v>
      </c>
      <c r="F19" s="14">
        <f>SUM(F16:F17)</f>
        <v>126653400</v>
      </c>
      <c r="G19" s="101">
        <f>SUM(G16:G18)</f>
        <v>26.26677241479235</v>
      </c>
      <c r="H19" s="24"/>
    </row>
    <row r="20" spans="1:7" ht="6.75" customHeight="1">
      <c r="A20" s="9"/>
      <c r="B20" s="9"/>
      <c r="C20" s="14"/>
      <c r="D20" s="14"/>
      <c r="E20" s="14"/>
      <c r="F20" s="5"/>
      <c r="G20" s="54"/>
    </row>
    <row r="21" spans="1:7" ht="13.5" thickBot="1">
      <c r="A21" s="227" t="s">
        <v>240</v>
      </c>
      <c r="B21" s="7"/>
      <c r="C21" s="102">
        <f>C14+C19</f>
        <v>169108007.32</v>
      </c>
      <c r="D21" s="102">
        <f>D14+D19</f>
        <v>202105292.41</v>
      </c>
      <c r="E21" s="102">
        <f>E14+E19</f>
        <v>110967753.96</v>
      </c>
      <c r="F21" s="102">
        <f>F14+F19</f>
        <v>482181053.69</v>
      </c>
      <c r="G21" s="103">
        <f>G14+G19</f>
        <v>100</v>
      </c>
    </row>
    <row r="22" spans="1:7" ht="6.75" customHeight="1" thickTop="1">
      <c r="A22" s="227"/>
      <c r="B22" s="7"/>
      <c r="C22" s="23"/>
      <c r="D22" s="23"/>
      <c r="E22" s="23"/>
      <c r="F22" s="23"/>
      <c r="G22" s="23"/>
    </row>
    <row r="23" spans="1:8" ht="20.25" customHeight="1">
      <c r="A23" s="228" t="s">
        <v>31</v>
      </c>
      <c r="B23" s="191"/>
      <c r="C23" s="29"/>
      <c r="D23" s="29"/>
      <c r="E23" s="29"/>
      <c r="F23" s="29"/>
      <c r="G23" s="29"/>
      <c r="H23" s="29"/>
    </row>
    <row r="24" spans="1:8" ht="20.25" customHeight="1">
      <c r="A24" s="228"/>
      <c r="B24" s="191"/>
      <c r="C24" s="29"/>
      <c r="D24" s="29"/>
      <c r="E24" s="29"/>
      <c r="F24" s="29"/>
      <c r="G24" s="29"/>
      <c r="H24" s="29"/>
    </row>
    <row r="25" spans="1:2" ht="12.75" customHeight="1">
      <c r="A25" s="12"/>
      <c r="B25" s="12"/>
    </row>
    <row r="26" spans="1:6" ht="14.25" customHeight="1">
      <c r="A26" s="12" t="s">
        <v>25</v>
      </c>
      <c r="B26" s="277" t="s">
        <v>542</v>
      </c>
      <c r="C26" s="278"/>
      <c r="D26" s="278"/>
      <c r="E26" s="230" t="s">
        <v>541</v>
      </c>
      <c r="F26" s="231">
        <v>9430381.69</v>
      </c>
    </row>
    <row r="27" spans="1:6" ht="14.25" customHeight="1">
      <c r="A27" s="12"/>
      <c r="B27" s="229"/>
      <c r="C27" s="216"/>
      <c r="D27" s="216"/>
      <c r="E27" s="230"/>
      <c r="F27" s="231"/>
    </row>
    <row r="28" spans="1:6" ht="14.25" customHeight="1">
      <c r="A28" s="12"/>
      <c r="B28" s="229"/>
      <c r="C28" s="216"/>
      <c r="D28" s="216"/>
      <c r="E28" s="230"/>
      <c r="F28" s="231"/>
    </row>
    <row r="29" spans="1:6" ht="12.75" customHeight="1">
      <c r="A29" s="12"/>
      <c r="B29" s="12"/>
      <c r="C29" s="121"/>
      <c r="D29" s="121"/>
      <c r="E29" s="121"/>
      <c r="F29" s="121"/>
    </row>
    <row r="30" spans="1:6" ht="12.75" customHeight="1">
      <c r="A30" s="12"/>
      <c r="B30" s="12"/>
      <c r="C30" s="121"/>
      <c r="D30" s="121"/>
      <c r="E30" s="121"/>
      <c r="F30" s="121"/>
    </row>
    <row r="31" spans="1:6" ht="23.25" customHeight="1">
      <c r="A31" s="232" t="s">
        <v>26</v>
      </c>
      <c r="B31" s="273" t="s">
        <v>543</v>
      </c>
      <c r="C31" s="274"/>
      <c r="D31" s="274"/>
      <c r="E31" s="121"/>
      <c r="F31" s="121"/>
    </row>
    <row r="32" spans="1:6" ht="5.25" customHeight="1">
      <c r="A32" s="121"/>
      <c r="B32" s="12"/>
      <c r="C32" s="121"/>
      <c r="D32" s="121"/>
      <c r="E32" s="121"/>
      <c r="F32" s="121"/>
    </row>
    <row r="33" spans="2:6" ht="14.25" customHeight="1">
      <c r="B33" s="273" t="s">
        <v>544</v>
      </c>
      <c r="C33" s="274"/>
      <c r="D33" s="274"/>
      <c r="E33" s="230" t="s">
        <v>541</v>
      </c>
      <c r="F33" s="231">
        <v>207032</v>
      </c>
    </row>
    <row r="34" spans="2:6" ht="12.75" customHeight="1">
      <c r="B34" s="273" t="s">
        <v>545</v>
      </c>
      <c r="C34" s="274"/>
      <c r="D34" s="274"/>
      <c r="F34" s="231">
        <v>277381.61</v>
      </c>
    </row>
    <row r="35" spans="2:6" ht="12.75" customHeight="1">
      <c r="B35" s="20" t="s">
        <v>546</v>
      </c>
      <c r="F35" s="231">
        <v>202814.76</v>
      </c>
    </row>
    <row r="36" spans="2:6" ht="12.75" customHeight="1">
      <c r="B36" s="20" t="s">
        <v>547</v>
      </c>
      <c r="F36" s="231">
        <v>934690.39</v>
      </c>
    </row>
    <row r="37" spans="2:6" ht="12.75">
      <c r="B37" s="20" t="s">
        <v>548</v>
      </c>
      <c r="F37" s="231">
        <v>811853.04</v>
      </c>
    </row>
    <row r="38" spans="2:6" ht="12.75">
      <c r="B38" s="20" t="s">
        <v>549</v>
      </c>
      <c r="F38" s="231">
        <v>317413.03</v>
      </c>
    </row>
    <row r="39" spans="2:6" ht="12.75">
      <c r="B39" s="20" t="s">
        <v>550</v>
      </c>
      <c r="F39" s="231">
        <v>1220791.56</v>
      </c>
    </row>
    <row r="40" spans="2:6" ht="12.75">
      <c r="B40" s="20" t="s">
        <v>551</v>
      </c>
      <c r="F40" s="231">
        <v>257739.02</v>
      </c>
    </row>
    <row r="41" spans="2:6" ht="12.75">
      <c r="B41" s="20" t="s">
        <v>552</v>
      </c>
      <c r="F41" s="231">
        <v>553870.78</v>
      </c>
    </row>
    <row r="42" spans="2:6" ht="12.75">
      <c r="B42" s="20" t="s">
        <v>553</v>
      </c>
      <c r="F42" s="231">
        <v>489658.9</v>
      </c>
    </row>
    <row r="43" spans="2:6" ht="12.75">
      <c r="B43" s="20" t="s">
        <v>554</v>
      </c>
      <c r="F43" s="231">
        <v>964884.6</v>
      </c>
    </row>
    <row r="44" spans="2:6" ht="12.75">
      <c r="B44" s="20" t="s">
        <v>555</v>
      </c>
      <c r="F44" s="231">
        <v>149230.39</v>
      </c>
    </row>
    <row r="45" spans="2:6" ht="12.75">
      <c r="B45" s="20" t="s">
        <v>556</v>
      </c>
      <c r="F45" s="231">
        <v>382264.1</v>
      </c>
    </row>
    <row r="46" spans="2:6" ht="12.75">
      <c r="B46" s="20" t="s">
        <v>557</v>
      </c>
      <c r="F46" s="231">
        <v>400248.09</v>
      </c>
    </row>
    <row r="47" spans="2:6" ht="12.75">
      <c r="B47" s="20" t="s">
        <v>558</v>
      </c>
      <c r="F47" s="231">
        <v>221793.05</v>
      </c>
    </row>
    <row r="48" spans="2:6" ht="22.5" customHeight="1">
      <c r="B48" s="260" t="s">
        <v>559</v>
      </c>
      <c r="C48" s="260"/>
      <c r="D48" s="260"/>
      <c r="F48" s="231">
        <v>844331.89</v>
      </c>
    </row>
    <row r="49" spans="2:6" ht="12.75">
      <c r="B49" s="20" t="s">
        <v>560</v>
      </c>
      <c r="F49" s="233">
        <v>417402.79</v>
      </c>
    </row>
    <row r="50" ht="12.75">
      <c r="B50" s="20"/>
    </row>
    <row r="51" spans="2:6" ht="13.5" thickBot="1">
      <c r="B51" s="20"/>
      <c r="E51" s="230" t="s">
        <v>541</v>
      </c>
      <c r="F51" s="234">
        <f>SUM(F33:F49)</f>
        <v>8653399.999999998</v>
      </c>
    </row>
    <row r="52" ht="13.5" thickTop="1">
      <c r="B52" s="2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</sheetData>
  <mergeCells count="11">
    <mergeCell ref="F1:G1"/>
    <mergeCell ref="A8:B8"/>
    <mergeCell ref="B26:D26"/>
    <mergeCell ref="B31:D31"/>
    <mergeCell ref="B48:D48"/>
    <mergeCell ref="A2:G2"/>
    <mergeCell ref="A3:G3"/>
    <mergeCell ref="A4:G4"/>
    <mergeCell ref="A5:G5"/>
    <mergeCell ref="B33:D33"/>
    <mergeCell ref="B34:D34"/>
  </mergeCells>
  <printOptions/>
  <pageMargins left="0.984251968503937" right="0.49" top="0.984251968503937" bottom="0.39" header="0" footer="0"/>
  <pageSetup fitToHeight="1" fitToWidth="1" horizontalDpi="600" verticalDpi="600" orientation="portrait" scale="97" r:id="rId1"/>
  <headerFooter alignWithMargins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2" customWidth="1"/>
    <col min="2" max="3" width="16.7109375" style="33" customWidth="1"/>
    <col min="4" max="5" width="15.57421875" style="33" customWidth="1"/>
    <col min="6" max="6" width="15.7109375" style="33" customWidth="1"/>
    <col min="7" max="16384" width="11.421875" style="2" customWidth="1"/>
  </cols>
  <sheetData>
    <row r="1" ht="13.5" thickBot="1">
      <c r="F1" s="40" t="s">
        <v>32</v>
      </c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7" t="s">
        <v>20</v>
      </c>
      <c r="B3" s="268"/>
      <c r="C3" s="268"/>
      <c r="D3" s="268"/>
      <c r="E3" s="268"/>
      <c r="F3" s="269"/>
    </row>
    <row r="4" spans="1:6" ht="15">
      <c r="A4" s="267" t="s">
        <v>241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ht="8.25" customHeight="1" thickBot="1"/>
    <row r="7" spans="1:6" ht="12.75">
      <c r="A7" s="95" t="s">
        <v>33</v>
      </c>
      <c r="B7" s="104" t="s">
        <v>34</v>
      </c>
      <c r="C7" s="104" t="s">
        <v>34</v>
      </c>
      <c r="D7" s="104" t="s">
        <v>35</v>
      </c>
      <c r="E7" s="104" t="s">
        <v>35</v>
      </c>
      <c r="F7" s="105" t="s">
        <v>22</v>
      </c>
    </row>
    <row r="8" spans="1:6" ht="12.75">
      <c r="A8" s="98" t="s">
        <v>36</v>
      </c>
      <c r="B8" s="106" t="s">
        <v>198</v>
      </c>
      <c r="C8" s="106" t="s">
        <v>198</v>
      </c>
      <c r="D8" s="106" t="s">
        <v>200</v>
      </c>
      <c r="E8" s="106" t="s">
        <v>200</v>
      </c>
      <c r="F8" s="107" t="s">
        <v>201</v>
      </c>
    </row>
    <row r="9" spans="1:6" ht="13.5" thickBot="1">
      <c r="A9" s="100" t="s">
        <v>197</v>
      </c>
      <c r="B9" s="108" t="s">
        <v>199</v>
      </c>
      <c r="C9" s="108" t="s">
        <v>474</v>
      </c>
      <c r="D9" s="108" t="s">
        <v>199</v>
      </c>
      <c r="E9" s="108" t="s">
        <v>471</v>
      </c>
      <c r="F9" s="109"/>
    </row>
    <row r="10" spans="1:6" ht="12.75">
      <c r="A10" s="3"/>
      <c r="B10" s="34"/>
      <c r="C10" s="34"/>
      <c r="D10" s="34"/>
      <c r="E10" s="34"/>
      <c r="F10" s="34"/>
    </row>
    <row r="11" spans="1:6" ht="12.75">
      <c r="A11" s="4" t="s">
        <v>469</v>
      </c>
      <c r="B11" s="35">
        <v>123654849</v>
      </c>
      <c r="C11" s="35"/>
      <c r="D11" s="35"/>
      <c r="E11" s="35"/>
      <c r="F11" s="35">
        <f>SUM(B11:E11)</f>
        <v>123654849</v>
      </c>
    </row>
    <row r="12" spans="1:6" ht="12.75">
      <c r="A12" s="4" t="s">
        <v>469</v>
      </c>
      <c r="B12" s="35">
        <v>12643431</v>
      </c>
      <c r="C12" s="35"/>
      <c r="D12" s="35"/>
      <c r="E12" s="35"/>
      <c r="F12" s="35">
        <f aca="true" t="shared" si="0" ref="F12:F23">SUM(B12:E12)</f>
        <v>12643431</v>
      </c>
    </row>
    <row r="13" spans="1:6" ht="12.75">
      <c r="A13" s="4" t="s">
        <v>473</v>
      </c>
      <c r="B13" s="35"/>
      <c r="C13" s="35">
        <v>497557.78</v>
      </c>
      <c r="D13" s="35"/>
      <c r="E13" s="35"/>
      <c r="F13" s="35">
        <f t="shared" si="0"/>
        <v>497557.78</v>
      </c>
    </row>
    <row r="14" spans="1:6" ht="12.75">
      <c r="A14" s="4" t="s">
        <v>473</v>
      </c>
      <c r="B14" s="35"/>
      <c r="C14" s="35">
        <v>959749.87</v>
      </c>
      <c r="D14" s="35"/>
      <c r="E14" s="35"/>
      <c r="F14" s="35">
        <f t="shared" si="0"/>
        <v>959749.87</v>
      </c>
    </row>
    <row r="15" spans="1:6" ht="12.75">
      <c r="A15" s="4" t="s">
        <v>473</v>
      </c>
      <c r="B15" s="35"/>
      <c r="C15" s="35">
        <v>347546.73</v>
      </c>
      <c r="D15" s="35"/>
      <c r="E15" s="35"/>
      <c r="F15" s="35">
        <f t="shared" si="0"/>
        <v>347546.73</v>
      </c>
    </row>
    <row r="16" spans="1:6" ht="12.75">
      <c r="A16" s="4" t="s">
        <v>473</v>
      </c>
      <c r="B16" s="35"/>
      <c r="C16" s="35">
        <v>772236.17</v>
      </c>
      <c r="D16" s="35"/>
      <c r="E16" s="35"/>
      <c r="F16" s="35">
        <f t="shared" si="0"/>
        <v>772236.17</v>
      </c>
    </row>
    <row r="17" spans="1:6" ht="12.75">
      <c r="A17" s="4" t="s">
        <v>473</v>
      </c>
      <c r="B17" s="35"/>
      <c r="C17" s="35">
        <v>148609.98</v>
      </c>
      <c r="D17" s="35"/>
      <c r="E17" s="35"/>
      <c r="F17" s="35">
        <f t="shared" si="0"/>
        <v>148609.98</v>
      </c>
    </row>
    <row r="18" spans="1:6" ht="12.75">
      <c r="A18" s="4" t="s">
        <v>473</v>
      </c>
      <c r="B18" s="35"/>
      <c r="C18" s="35">
        <v>164925.59</v>
      </c>
      <c r="D18" s="35"/>
      <c r="E18" s="35"/>
      <c r="F18" s="35">
        <f t="shared" si="0"/>
        <v>164925.59</v>
      </c>
    </row>
    <row r="19" spans="1:6" ht="12.75">
      <c r="A19" s="4" t="s">
        <v>473</v>
      </c>
      <c r="B19" s="35"/>
      <c r="C19" s="35">
        <v>11830.95</v>
      </c>
      <c r="D19" s="35"/>
      <c r="E19" s="35"/>
      <c r="F19" s="35">
        <f t="shared" si="0"/>
        <v>11830.95</v>
      </c>
    </row>
    <row r="20" spans="1:6" ht="12.75">
      <c r="A20" s="4" t="s">
        <v>473</v>
      </c>
      <c r="B20" s="35"/>
      <c r="C20" s="35">
        <v>1028828.34</v>
      </c>
      <c r="D20" s="35"/>
      <c r="E20" s="35"/>
      <c r="F20" s="35">
        <f t="shared" si="0"/>
        <v>1028828.34</v>
      </c>
    </row>
    <row r="21" spans="1:6" ht="12.75">
      <c r="A21" s="4" t="s">
        <v>473</v>
      </c>
      <c r="B21" s="35"/>
      <c r="C21" s="35">
        <v>672432.63</v>
      </c>
      <c r="D21" s="35"/>
      <c r="E21" s="35"/>
      <c r="F21" s="35">
        <f t="shared" si="0"/>
        <v>672432.63</v>
      </c>
    </row>
    <row r="22" spans="1:6" ht="12.75">
      <c r="A22" s="4" t="s">
        <v>473</v>
      </c>
      <c r="B22" s="35"/>
      <c r="C22" s="35">
        <v>206009.28</v>
      </c>
      <c r="D22" s="35"/>
      <c r="E22" s="35"/>
      <c r="F22" s="35">
        <f t="shared" si="0"/>
        <v>206009.28</v>
      </c>
    </row>
    <row r="23" spans="1:6" ht="12.75">
      <c r="A23" s="4" t="s">
        <v>470</v>
      </c>
      <c r="B23" s="35"/>
      <c r="C23" s="35"/>
      <c r="D23" s="35">
        <v>28000000</v>
      </c>
      <c r="E23" s="35"/>
      <c r="F23" s="35">
        <f t="shared" si="0"/>
        <v>28000000</v>
      </c>
    </row>
    <row r="24" spans="2:6" ht="12.75">
      <c r="B24" s="35"/>
      <c r="C24" s="35"/>
      <c r="D24" s="35"/>
      <c r="E24" s="35"/>
      <c r="F24" s="35"/>
    </row>
    <row r="25" spans="1:6" ht="6.75" customHeight="1">
      <c r="A25" s="4"/>
      <c r="B25" s="41"/>
      <c r="C25" s="41"/>
      <c r="D25" s="41"/>
      <c r="E25" s="41"/>
      <c r="F25" s="41"/>
    </row>
    <row r="26" spans="1:6" ht="12.75">
      <c r="A26" s="6" t="s">
        <v>467</v>
      </c>
      <c r="B26" s="110">
        <f>SUM(B11:B23)</f>
        <v>136298280</v>
      </c>
      <c r="C26" s="110">
        <f>SUM(C11:C23)</f>
        <v>4809727.32</v>
      </c>
      <c r="D26" s="110">
        <f>SUM(D11:D23)</f>
        <v>28000000</v>
      </c>
      <c r="E26" s="110">
        <f>SUM(E11:E23)</f>
        <v>0</v>
      </c>
      <c r="F26" s="110">
        <f>SUM(F11:F23)</f>
        <v>169108007.31999996</v>
      </c>
    </row>
    <row r="27" spans="1:6" ht="12.75">
      <c r="A27" s="6"/>
      <c r="B27" s="35"/>
      <c r="C27" s="35"/>
      <c r="D27" s="35"/>
      <c r="E27" s="35"/>
      <c r="F27" s="35"/>
    </row>
    <row r="28" spans="1:6" ht="12.75">
      <c r="A28" s="4" t="s">
        <v>480</v>
      </c>
      <c r="B28" s="35"/>
      <c r="C28" s="35"/>
      <c r="D28" s="35">
        <v>20000000</v>
      </c>
      <c r="E28" s="35"/>
      <c r="F28" s="35">
        <f>SUM(B28:E28)</f>
        <v>20000000</v>
      </c>
    </row>
    <row r="29" spans="1:6" ht="12.75">
      <c r="A29" s="4" t="s">
        <v>480</v>
      </c>
      <c r="B29" s="35">
        <v>-19000000</v>
      </c>
      <c r="C29" s="35"/>
      <c r="D29" s="35"/>
      <c r="E29" s="35"/>
      <c r="F29" s="35">
        <f>SUM(B29:E29)</f>
        <v>-19000000</v>
      </c>
    </row>
    <row r="30" spans="1:6" ht="12.75">
      <c r="A30" s="4" t="s">
        <v>481</v>
      </c>
      <c r="B30" s="35"/>
      <c r="C30" s="35"/>
      <c r="D30" s="35">
        <v>20000000</v>
      </c>
      <c r="E30" s="35"/>
      <c r="F30" s="35">
        <f aca="true" t="shared" si="1" ref="F30:F38">SUM(B30:E30)</f>
        <v>20000000</v>
      </c>
    </row>
    <row r="31" spans="1:6" ht="12.75">
      <c r="A31" s="4" t="s">
        <v>482</v>
      </c>
      <c r="B31" s="35">
        <v>138847215</v>
      </c>
      <c r="C31" s="35"/>
      <c r="D31" s="35"/>
      <c r="E31" s="35"/>
      <c r="F31" s="35">
        <f t="shared" si="1"/>
        <v>138847215</v>
      </c>
    </row>
    <row r="32" spans="1:6" ht="12.75">
      <c r="A32" s="4" t="s">
        <v>482</v>
      </c>
      <c r="B32" s="35">
        <v>12643431</v>
      </c>
      <c r="C32" s="35"/>
      <c r="D32" s="35"/>
      <c r="E32" s="35"/>
      <c r="F32" s="35">
        <f t="shared" si="1"/>
        <v>12643431</v>
      </c>
    </row>
    <row r="33" spans="1:6" ht="12.75">
      <c r="A33" s="4" t="s">
        <v>482</v>
      </c>
      <c r="B33" s="35"/>
      <c r="C33" s="35">
        <v>364879.15</v>
      </c>
      <c r="D33" s="35"/>
      <c r="E33" s="35"/>
      <c r="F33" s="35">
        <f t="shared" si="1"/>
        <v>364879.15</v>
      </c>
    </row>
    <row r="34" spans="1:6" ht="12.75">
      <c r="A34" s="4" t="s">
        <v>482</v>
      </c>
      <c r="B34" s="35"/>
      <c r="C34" s="35">
        <v>45160.77</v>
      </c>
      <c r="D34" s="35"/>
      <c r="E34" s="35"/>
      <c r="F34" s="35">
        <f t="shared" si="1"/>
        <v>45160.77</v>
      </c>
    </row>
    <row r="35" spans="1:6" ht="12.75">
      <c r="A35" s="4" t="s">
        <v>482</v>
      </c>
      <c r="B35" s="35"/>
      <c r="C35" s="35">
        <v>3472832</v>
      </c>
      <c r="D35" s="35"/>
      <c r="E35" s="35"/>
      <c r="F35" s="35">
        <f t="shared" si="1"/>
        <v>3472832</v>
      </c>
    </row>
    <row r="36" spans="1:6" ht="12.75">
      <c r="A36" s="4" t="s">
        <v>482</v>
      </c>
      <c r="B36" s="35"/>
      <c r="C36" s="35">
        <v>36489.09</v>
      </c>
      <c r="D36" s="35"/>
      <c r="E36" s="35"/>
      <c r="F36" s="35">
        <f t="shared" si="1"/>
        <v>36489.09</v>
      </c>
    </row>
    <row r="37" spans="1:6" ht="12.75">
      <c r="A37" s="4" t="s">
        <v>482</v>
      </c>
      <c r="B37" s="35"/>
      <c r="C37" s="35">
        <v>695285.4</v>
      </c>
      <c r="D37" s="35"/>
      <c r="E37" s="35"/>
      <c r="F37" s="35">
        <f t="shared" si="1"/>
        <v>695285.4</v>
      </c>
    </row>
    <row r="38" spans="1:6" ht="12.75">
      <c r="A38" s="4" t="s">
        <v>483</v>
      </c>
      <c r="B38" s="35"/>
      <c r="C38" s="35"/>
      <c r="D38" s="35">
        <v>25000000</v>
      </c>
      <c r="E38" s="35"/>
      <c r="F38" s="35">
        <f t="shared" si="1"/>
        <v>25000000</v>
      </c>
    </row>
    <row r="39" spans="1:6" ht="12.75">
      <c r="A39" s="4"/>
      <c r="B39" s="42"/>
      <c r="C39" s="42"/>
      <c r="D39" s="42"/>
      <c r="E39" s="42"/>
      <c r="F39" s="35"/>
    </row>
    <row r="40" spans="1:6" ht="6" customHeight="1">
      <c r="A40" s="4"/>
      <c r="B40" s="41"/>
      <c r="C40" s="41"/>
      <c r="D40" s="41"/>
      <c r="E40" s="41"/>
      <c r="F40" s="41"/>
    </row>
    <row r="41" spans="1:6" ht="12.75">
      <c r="A41" s="6" t="s">
        <v>484</v>
      </c>
      <c r="B41" s="110">
        <f>SUM(B28:B38)</f>
        <v>132490646</v>
      </c>
      <c r="C41" s="110">
        <f>SUM(C28:C38)</f>
        <v>4614646.41</v>
      </c>
      <c r="D41" s="110">
        <f>SUM(D28:D38)</f>
        <v>65000000</v>
      </c>
      <c r="E41" s="110">
        <f>SUM(E28:E38)</f>
        <v>0</v>
      </c>
      <c r="F41" s="110">
        <f>SUM(F28:F38)</f>
        <v>202105292.41000003</v>
      </c>
    </row>
    <row r="42" spans="2:6" ht="12.75">
      <c r="B42" s="35"/>
      <c r="C42" s="35"/>
      <c r="D42" s="35"/>
      <c r="E42" s="35"/>
      <c r="F42" s="35"/>
    </row>
    <row r="43" spans="1:6" ht="12.75">
      <c r="A43" s="4" t="s">
        <v>517</v>
      </c>
      <c r="B43" s="35"/>
      <c r="C43" s="35">
        <v>6007.96</v>
      </c>
      <c r="D43" s="35"/>
      <c r="E43" s="35"/>
      <c r="F43" s="35">
        <f>SUM(B43:E43)</f>
        <v>6007.96</v>
      </c>
    </row>
    <row r="44" spans="1:6" ht="12.75">
      <c r="A44" s="4" t="s">
        <v>518</v>
      </c>
      <c r="B44" s="35">
        <v>62998248</v>
      </c>
      <c r="C44" s="35"/>
      <c r="D44" s="35"/>
      <c r="E44" s="35"/>
      <c r="F44" s="35">
        <f>SUM(B44:E44)</f>
        <v>62998248</v>
      </c>
    </row>
    <row r="45" spans="1:6" ht="12.75">
      <c r="A45" s="4" t="s">
        <v>518</v>
      </c>
      <c r="B45" s="35"/>
      <c r="C45" s="35"/>
      <c r="D45" s="35"/>
      <c r="E45" s="35">
        <v>8653400</v>
      </c>
      <c r="F45" s="35">
        <f>SUM(B45:E45)</f>
        <v>8653400</v>
      </c>
    </row>
    <row r="46" spans="1:6" ht="12.75">
      <c r="A46" s="4" t="s">
        <v>518</v>
      </c>
      <c r="B46" s="35">
        <v>14310098</v>
      </c>
      <c r="C46" s="35"/>
      <c r="D46" s="35"/>
      <c r="E46" s="35"/>
      <c r="F46" s="35">
        <f>SUM(B46:E46)</f>
        <v>14310098</v>
      </c>
    </row>
    <row r="47" spans="1:6" ht="12.75">
      <c r="A47" s="4" t="s">
        <v>519</v>
      </c>
      <c r="B47" s="35"/>
      <c r="C47" s="35"/>
      <c r="D47" s="35">
        <v>25000000</v>
      </c>
      <c r="E47" s="35"/>
      <c r="F47" s="35">
        <f>SUM(B47:E47)</f>
        <v>25000000</v>
      </c>
    </row>
    <row r="48" spans="1:6" ht="12.75">
      <c r="A48" s="4"/>
      <c r="B48" s="190"/>
      <c r="C48" s="190"/>
      <c r="D48" s="190"/>
      <c r="E48" s="190"/>
      <c r="F48" s="190"/>
    </row>
    <row r="49" spans="1:6" ht="6" customHeight="1">
      <c r="A49" s="4"/>
      <c r="B49" s="35"/>
      <c r="C49" s="35"/>
      <c r="D49" s="35"/>
      <c r="E49" s="35"/>
      <c r="F49" s="35"/>
    </row>
    <row r="50" spans="1:6" ht="12.75" customHeight="1">
      <c r="A50" s="6" t="s">
        <v>520</v>
      </c>
      <c r="B50" s="110">
        <f>SUM(B43:B47)</f>
        <v>77308346</v>
      </c>
      <c r="C50" s="110">
        <f>SUM(C43:C47)</f>
        <v>6007.96</v>
      </c>
      <c r="D50" s="110">
        <f>SUM(D43:D47)</f>
        <v>25000000</v>
      </c>
      <c r="E50" s="110">
        <f>SUM(E43:E47)</f>
        <v>8653400</v>
      </c>
      <c r="F50" s="110">
        <f>SUM(F43:F47)</f>
        <v>110967753.96000001</v>
      </c>
    </row>
    <row r="51" spans="2:6" ht="12.75">
      <c r="B51" s="35"/>
      <c r="C51" s="35"/>
      <c r="D51" s="35"/>
      <c r="E51" s="35"/>
      <c r="F51" s="35"/>
    </row>
    <row r="52" spans="1:6" ht="13.5" thickBot="1">
      <c r="A52" s="7" t="s">
        <v>140</v>
      </c>
      <c r="B52" s="111">
        <f>SUM(B26+B41+B50)</f>
        <v>346097272</v>
      </c>
      <c r="C52" s="111">
        <f>SUM(C26+C41+C50)</f>
        <v>9430381.690000001</v>
      </c>
      <c r="D52" s="111">
        <f>SUM(D26+D41+D50)</f>
        <v>118000000</v>
      </c>
      <c r="E52" s="111">
        <f>SUM(E26+E41+E50)</f>
        <v>8653400</v>
      </c>
      <c r="F52" s="111">
        <f>SUM(F26+F41+F50)</f>
        <v>482181053.69000006</v>
      </c>
    </row>
    <row r="53" ht="13.5" thickTop="1"/>
  </sheetData>
  <mergeCells count="4">
    <mergeCell ref="A2:F2"/>
    <mergeCell ref="A3:F3"/>
    <mergeCell ref="A4:F4"/>
    <mergeCell ref="A5:F5"/>
  </mergeCells>
  <printOptions/>
  <pageMargins left="0.52" right="0.21" top="0.984251968503937" bottom="0.984251968503937" header="0" footer="0"/>
  <pageSetup horizontalDpi="600" verticalDpi="600" orientation="portrait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2" customWidth="1"/>
    <col min="2" max="2" width="10.00390625" style="33" bestFit="1" customWidth="1"/>
    <col min="3" max="3" width="10.00390625" style="33" customWidth="1"/>
    <col min="4" max="4" width="10.8515625" style="33" bestFit="1" customWidth="1"/>
    <col min="5" max="5" width="13.7109375" style="33" customWidth="1"/>
    <col min="6" max="6" width="6.57421875" style="2" customWidth="1"/>
    <col min="7" max="7" width="4.00390625" style="2" customWidth="1"/>
    <col min="8" max="8" width="12.7109375" style="2" bestFit="1" customWidth="1"/>
    <col min="9" max="16384" width="11.421875" style="2" customWidth="1"/>
  </cols>
  <sheetData>
    <row r="1" spans="1:6" ht="13.5" thickBot="1">
      <c r="A1" s="10"/>
      <c r="B1" s="32"/>
      <c r="C1" s="32"/>
      <c r="D1" s="32"/>
      <c r="E1" s="275" t="s">
        <v>5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225</v>
      </c>
      <c r="B4" s="268"/>
      <c r="C4" s="268"/>
      <c r="D4" s="268"/>
      <c r="E4" s="268"/>
      <c r="F4" s="269"/>
    </row>
    <row r="5" spans="1:6" ht="15.75" thickBot="1">
      <c r="A5" s="270" t="s">
        <v>500</v>
      </c>
      <c r="B5" s="271"/>
      <c r="C5" s="271"/>
      <c r="D5" s="271"/>
      <c r="E5" s="271"/>
      <c r="F5" s="272"/>
    </row>
    <row r="6" spans="2:5" ht="8.25" customHeight="1" thickBot="1">
      <c r="B6" s="2"/>
      <c r="C6" s="2"/>
      <c r="D6" s="2"/>
      <c r="E6" s="2"/>
    </row>
    <row r="7" spans="1:6" ht="12.75">
      <c r="A7" s="184"/>
      <c r="B7" s="94"/>
      <c r="C7" s="94"/>
      <c r="D7" s="181"/>
      <c r="E7" s="181"/>
      <c r="F7" s="95"/>
    </row>
    <row r="8" spans="1:6" ht="12.75">
      <c r="A8" s="185" t="s">
        <v>21</v>
      </c>
      <c r="B8" s="97" t="s">
        <v>478</v>
      </c>
      <c r="C8" s="97" t="s">
        <v>479</v>
      </c>
      <c r="D8" s="97" t="s">
        <v>499</v>
      </c>
      <c r="E8" s="182" t="s">
        <v>22</v>
      </c>
      <c r="F8" s="98" t="s">
        <v>23</v>
      </c>
    </row>
    <row r="9" spans="1:6" ht="13.5" thickBot="1">
      <c r="A9" s="186"/>
      <c r="B9" s="99"/>
      <c r="C9" s="99"/>
      <c r="D9" s="183"/>
      <c r="E9" s="183"/>
      <c r="F9" s="100"/>
    </row>
    <row r="10" spans="1:6" ht="6" customHeight="1">
      <c r="A10" s="3"/>
      <c r="B10" s="34"/>
      <c r="C10" s="34"/>
      <c r="D10" s="34"/>
      <c r="E10" s="34"/>
      <c r="F10" s="3"/>
    </row>
    <row r="11" spans="1:6" ht="12.75">
      <c r="A11" s="10" t="s">
        <v>37</v>
      </c>
      <c r="B11" s="35">
        <v>1469513</v>
      </c>
      <c r="C11" s="35">
        <v>13000</v>
      </c>
      <c r="D11" s="36">
        <v>78050</v>
      </c>
      <c r="E11" s="36">
        <f aca="true" t="shared" si="0" ref="E11:E30">SUM(B11:D11)</f>
        <v>1560563</v>
      </c>
      <c r="F11" s="54">
        <f aca="true" t="shared" si="1" ref="F11:F30">(E11/$E$47*100)</f>
        <v>5.731519148577665</v>
      </c>
    </row>
    <row r="12" spans="1:6" ht="12.75">
      <c r="A12" s="10" t="s">
        <v>38</v>
      </c>
      <c r="B12" s="36">
        <v>305045</v>
      </c>
      <c r="C12" s="36">
        <v>152500</v>
      </c>
      <c r="D12" s="35">
        <v>71707</v>
      </c>
      <c r="E12" s="36">
        <f t="shared" si="0"/>
        <v>529252</v>
      </c>
      <c r="F12" s="54">
        <f t="shared" si="1"/>
        <v>1.9437971888498102</v>
      </c>
    </row>
    <row r="13" spans="1:6" ht="12.75">
      <c r="A13" s="10" t="s">
        <v>39</v>
      </c>
      <c r="B13" s="36">
        <v>1118363.5</v>
      </c>
      <c r="C13" s="36">
        <v>3442192.5</v>
      </c>
      <c r="D13" s="35">
        <v>5288979</v>
      </c>
      <c r="E13" s="36">
        <f t="shared" si="0"/>
        <v>9849535</v>
      </c>
      <c r="F13" s="54">
        <f t="shared" si="1"/>
        <v>36.17463598527321</v>
      </c>
    </row>
    <row r="14" spans="1:6" ht="12.75">
      <c r="A14" s="10" t="s">
        <v>40</v>
      </c>
      <c r="B14" s="36">
        <v>20629</v>
      </c>
      <c r="C14" s="36">
        <v>775642</v>
      </c>
      <c r="D14" s="36">
        <v>1622983</v>
      </c>
      <c r="E14" s="36">
        <f t="shared" si="0"/>
        <v>2419254</v>
      </c>
      <c r="F14" s="54">
        <f t="shared" si="1"/>
        <v>8.885255274072955</v>
      </c>
    </row>
    <row r="15" spans="1:6" ht="12.75">
      <c r="A15" s="10" t="s">
        <v>41</v>
      </c>
      <c r="B15" s="36">
        <v>3724</v>
      </c>
      <c r="C15" s="36">
        <v>125761</v>
      </c>
      <c r="D15" s="36">
        <v>363670</v>
      </c>
      <c r="E15" s="36">
        <f t="shared" si="0"/>
        <v>493155</v>
      </c>
      <c r="F15" s="54">
        <f t="shared" si="1"/>
        <v>1.8112228251706715</v>
      </c>
    </row>
    <row r="16" spans="1:6" ht="12.75">
      <c r="A16" s="10" t="s">
        <v>42</v>
      </c>
      <c r="B16" s="36">
        <v>16719</v>
      </c>
      <c r="C16" s="36">
        <v>492915</v>
      </c>
      <c r="D16" s="36">
        <v>345776</v>
      </c>
      <c r="E16" s="36">
        <f t="shared" si="0"/>
        <v>855410</v>
      </c>
      <c r="F16" s="54">
        <f t="shared" si="1"/>
        <v>3.1416859139200537</v>
      </c>
    </row>
    <row r="17" spans="1:6" ht="12.75">
      <c r="A17" s="9" t="s">
        <v>43</v>
      </c>
      <c r="B17" s="36">
        <f>192338+629+1924+1258</f>
        <v>196149</v>
      </c>
      <c r="C17" s="36">
        <v>245823</v>
      </c>
      <c r="D17" s="36">
        <v>51772</v>
      </c>
      <c r="E17" s="36">
        <f t="shared" si="0"/>
        <v>493744</v>
      </c>
      <c r="F17" s="54">
        <f t="shared" si="1"/>
        <v>1.8133860603483043</v>
      </c>
    </row>
    <row r="18" spans="1:6" ht="12.75">
      <c r="A18" s="9" t="s">
        <v>242</v>
      </c>
      <c r="B18" s="36">
        <f>310165+51414</f>
        <v>361579</v>
      </c>
      <c r="C18" s="36">
        <v>362533</v>
      </c>
      <c r="D18" s="35">
        <v>17556</v>
      </c>
      <c r="E18" s="36">
        <f t="shared" si="0"/>
        <v>741668</v>
      </c>
      <c r="F18" s="54">
        <f t="shared" si="1"/>
        <v>2.7239427974950705</v>
      </c>
    </row>
    <row r="19" spans="1:6" ht="12.75">
      <c r="A19" s="9" t="s">
        <v>44</v>
      </c>
      <c r="B19" s="36">
        <v>5640</v>
      </c>
      <c r="C19" s="36">
        <v>23312</v>
      </c>
      <c r="D19" s="35"/>
      <c r="E19" s="36">
        <f t="shared" si="0"/>
        <v>28952</v>
      </c>
      <c r="F19" s="54">
        <f t="shared" si="1"/>
        <v>0.10633274170259104</v>
      </c>
    </row>
    <row r="20" spans="1:6" ht="12.75">
      <c r="A20" s="9" t="s">
        <v>45</v>
      </c>
      <c r="B20" s="36">
        <f>82168+12598</f>
        <v>94766</v>
      </c>
      <c r="C20" s="36">
        <v>64306</v>
      </c>
      <c r="D20" s="36">
        <v>10504</v>
      </c>
      <c r="E20" s="36">
        <f t="shared" si="0"/>
        <v>169576</v>
      </c>
      <c r="F20" s="54">
        <f t="shared" si="1"/>
        <v>0.6228060585437475</v>
      </c>
    </row>
    <row r="21" spans="1:6" ht="12.75">
      <c r="A21" s="10" t="s">
        <v>46</v>
      </c>
      <c r="B21" s="36">
        <f>540944+101887</f>
        <v>642831</v>
      </c>
      <c r="C21" s="36">
        <v>747310</v>
      </c>
      <c r="D21" s="35">
        <v>37288</v>
      </c>
      <c r="E21" s="36">
        <f t="shared" si="0"/>
        <v>1427429</v>
      </c>
      <c r="F21" s="54">
        <f t="shared" si="1"/>
        <v>5.24255454392746</v>
      </c>
    </row>
    <row r="22" spans="1:6" ht="12.75">
      <c r="A22" s="10" t="s">
        <v>47</v>
      </c>
      <c r="B22" s="36">
        <f>20236+1129</f>
        <v>21365</v>
      </c>
      <c r="C22" s="36">
        <v>10450</v>
      </c>
      <c r="D22" s="35">
        <v>5311</v>
      </c>
      <c r="E22" s="36">
        <f t="shared" si="0"/>
        <v>37126</v>
      </c>
      <c r="F22" s="54">
        <f t="shared" si="1"/>
        <v>0.13635359797079286</v>
      </c>
    </row>
    <row r="23" spans="1:6" ht="12.75">
      <c r="A23" s="10" t="s">
        <v>48</v>
      </c>
      <c r="B23" s="36">
        <f>12750+1625</f>
        <v>14375</v>
      </c>
      <c r="C23" s="36">
        <v>7949</v>
      </c>
      <c r="D23" s="35">
        <v>1050</v>
      </c>
      <c r="E23" s="36">
        <f t="shared" si="0"/>
        <v>23374</v>
      </c>
      <c r="F23" s="54">
        <f t="shared" si="1"/>
        <v>0.08584628020711393</v>
      </c>
    </row>
    <row r="24" spans="1:6" ht="12.75">
      <c r="A24" s="10" t="s">
        <v>243</v>
      </c>
      <c r="B24" s="36">
        <f>185600+25600</f>
        <v>211200</v>
      </c>
      <c r="C24" s="36">
        <v>122800</v>
      </c>
      <c r="D24" s="35">
        <v>13200</v>
      </c>
      <c r="E24" s="36">
        <f t="shared" si="0"/>
        <v>347200</v>
      </c>
      <c r="F24" s="54">
        <f t="shared" si="1"/>
        <v>1.2751702099730453</v>
      </c>
    </row>
    <row r="25" spans="1:6" ht="12.75">
      <c r="A25" s="10" t="s">
        <v>510</v>
      </c>
      <c r="B25" s="36"/>
      <c r="C25" s="36">
        <v>6400</v>
      </c>
      <c r="D25" s="35">
        <v>40000</v>
      </c>
      <c r="E25" s="36">
        <f>SUM(B25:D25)</f>
        <v>46400</v>
      </c>
      <c r="F25" s="54">
        <f t="shared" si="1"/>
        <v>0.17041445202404754</v>
      </c>
    </row>
    <row r="26" spans="1:6" ht="12.75">
      <c r="A26" s="10" t="s">
        <v>49</v>
      </c>
      <c r="B26" s="36">
        <v>22204</v>
      </c>
      <c r="C26" s="36">
        <v>4475</v>
      </c>
      <c r="D26" s="35">
        <v>6172</v>
      </c>
      <c r="E26" s="36">
        <f t="shared" si="0"/>
        <v>32851</v>
      </c>
      <c r="F26" s="54">
        <f t="shared" si="1"/>
        <v>0.12065269748797382</v>
      </c>
    </row>
    <row r="27" spans="1:6" ht="12.75">
      <c r="A27" s="10" t="s">
        <v>366</v>
      </c>
      <c r="B27" s="36">
        <v>167849.7</v>
      </c>
      <c r="C27" s="36">
        <v>145208</v>
      </c>
      <c r="D27" s="35"/>
      <c r="E27" s="36">
        <f t="shared" si="0"/>
        <v>313057.7</v>
      </c>
      <c r="F27" s="54">
        <f t="shared" si="1"/>
        <v>1.1497749223579454</v>
      </c>
    </row>
    <row r="28" spans="1:6" ht="12.75">
      <c r="A28" s="10" t="s">
        <v>476</v>
      </c>
      <c r="B28" s="36">
        <v>206192</v>
      </c>
      <c r="C28" s="36"/>
      <c r="D28" s="35"/>
      <c r="E28" s="36">
        <f t="shared" si="0"/>
        <v>206192</v>
      </c>
      <c r="F28" s="54">
        <f t="shared" si="1"/>
        <v>0.7572865666323795</v>
      </c>
    </row>
    <row r="29" spans="1:6" ht="12.75">
      <c r="A29" s="10" t="s">
        <v>427</v>
      </c>
      <c r="B29" s="36">
        <v>14000</v>
      </c>
      <c r="C29" s="36"/>
      <c r="D29" s="35"/>
      <c r="E29" s="36">
        <f t="shared" si="0"/>
        <v>14000</v>
      </c>
      <c r="F29" s="54">
        <f t="shared" si="1"/>
        <v>0.05141815362794537</v>
      </c>
    </row>
    <row r="30" spans="1:7" ht="12.75">
      <c r="A30" s="10" t="s">
        <v>50</v>
      </c>
      <c r="B30" s="36">
        <v>1482198.95</v>
      </c>
      <c r="C30" s="36">
        <v>1709939.8</v>
      </c>
      <c r="D30" s="36">
        <v>1794884.82</v>
      </c>
      <c r="E30" s="36">
        <f t="shared" si="0"/>
        <v>4987023.57</v>
      </c>
      <c r="F30" s="54">
        <f t="shared" si="1"/>
        <v>18.31596743346033</v>
      </c>
      <c r="G30" s="21" t="s">
        <v>25</v>
      </c>
    </row>
    <row r="31" spans="1:8" ht="12.75">
      <c r="A31" s="11" t="s">
        <v>319</v>
      </c>
      <c r="B31" s="114">
        <f>SUM(B11:B30)</f>
        <v>6374343.15</v>
      </c>
      <c r="C31" s="114">
        <f>SUM(C11:C30)</f>
        <v>8452516.3</v>
      </c>
      <c r="D31" s="114">
        <f>SUM(D11:D30)</f>
        <v>9748902.82</v>
      </c>
      <c r="E31" s="114">
        <f>SUM(E11:E30)</f>
        <v>24575762.27</v>
      </c>
      <c r="F31" s="115">
        <f>SUM(F11:F30)</f>
        <v>90.2600228516231</v>
      </c>
      <c r="H31" s="33"/>
    </row>
    <row r="32" spans="2:6" ht="12.75">
      <c r="B32" s="37"/>
      <c r="C32" s="37"/>
      <c r="E32" s="37"/>
      <c r="F32" s="55"/>
    </row>
    <row r="33" spans="1:6" ht="12.75">
      <c r="A33" s="11" t="s">
        <v>244</v>
      </c>
      <c r="B33" s="37"/>
      <c r="C33" s="37"/>
      <c r="E33" s="37"/>
      <c r="F33" s="55"/>
    </row>
    <row r="34" spans="1:6" ht="12.75">
      <c r="A34" s="2" t="s">
        <v>51</v>
      </c>
      <c r="B34" s="37">
        <v>130873.31</v>
      </c>
      <c r="C34" s="37">
        <v>106133.36</v>
      </c>
      <c r="D34" s="37">
        <v>106870.39</v>
      </c>
      <c r="E34" s="37">
        <f aca="true" t="shared" si="2" ref="E34:E40">SUM(B34:D34)</f>
        <v>343877.06</v>
      </c>
      <c r="F34" s="55">
        <f aca="true" t="shared" si="3" ref="F34:F44">E34/$E$47*100</f>
        <v>1.262965964300442</v>
      </c>
    </row>
    <row r="35" spans="1:6" ht="12.75">
      <c r="A35" s="2" t="s">
        <v>156</v>
      </c>
      <c r="B35" s="37">
        <v>7482.72</v>
      </c>
      <c r="C35" s="37">
        <v>6017.23</v>
      </c>
      <c r="D35" s="37">
        <v>6045.8</v>
      </c>
      <c r="E35" s="37">
        <f t="shared" si="2"/>
        <v>19545.75</v>
      </c>
      <c r="F35" s="55">
        <f t="shared" si="3"/>
        <v>0.07178616973381524</v>
      </c>
    </row>
    <row r="36" spans="1:6" ht="12.75">
      <c r="A36" s="2" t="s">
        <v>183</v>
      </c>
      <c r="B36" s="37">
        <v>35843.3</v>
      </c>
      <c r="C36" s="37">
        <v>12900.42</v>
      </c>
      <c r="D36" s="37"/>
      <c r="E36" s="37">
        <f t="shared" si="2"/>
        <v>48743.72</v>
      </c>
      <c r="F36" s="55">
        <f t="shared" si="3"/>
        <v>0.17902229166839667</v>
      </c>
    </row>
    <row r="37" spans="1:6" ht="12.75">
      <c r="A37" s="2" t="s">
        <v>411</v>
      </c>
      <c r="B37" s="37">
        <v>4349.4</v>
      </c>
      <c r="C37" s="37">
        <v>4082.09</v>
      </c>
      <c r="D37" s="37">
        <v>199.58</v>
      </c>
      <c r="E37" s="37">
        <f t="shared" si="2"/>
        <v>8631.07</v>
      </c>
      <c r="F37" s="55">
        <f t="shared" si="3"/>
        <v>0.03169954880239646</v>
      </c>
    </row>
    <row r="38" spans="1:6" ht="12.75">
      <c r="A38" s="2" t="s">
        <v>155</v>
      </c>
      <c r="B38" s="37">
        <v>7810.74</v>
      </c>
      <c r="C38" s="37">
        <v>6286.54</v>
      </c>
      <c r="D38" s="37">
        <v>6307.93</v>
      </c>
      <c r="E38" s="37">
        <f t="shared" si="2"/>
        <v>20405.21</v>
      </c>
      <c r="F38" s="55">
        <f t="shared" si="3"/>
        <v>0.07494273018503479</v>
      </c>
    </row>
    <row r="39" spans="1:6" ht="12.75">
      <c r="A39" s="2" t="s">
        <v>188</v>
      </c>
      <c r="B39" s="37">
        <v>203.26</v>
      </c>
      <c r="C39" s="37"/>
      <c r="D39" s="37"/>
      <c r="E39" s="37">
        <f t="shared" si="2"/>
        <v>203.26</v>
      </c>
      <c r="F39" s="55">
        <f t="shared" si="3"/>
        <v>0.000746518136172584</v>
      </c>
    </row>
    <row r="40" spans="1:6" ht="12.75">
      <c r="A40" s="2" t="s">
        <v>301</v>
      </c>
      <c r="B40" s="37">
        <v>103346.29</v>
      </c>
      <c r="C40" s="37">
        <v>66268.64</v>
      </c>
      <c r="D40" s="37">
        <v>54858.19</v>
      </c>
      <c r="E40" s="37">
        <f t="shared" si="2"/>
        <v>224473.12</v>
      </c>
      <c r="F40" s="55">
        <f t="shared" si="3"/>
        <v>0.8244280978217299</v>
      </c>
    </row>
    <row r="41" spans="1:6" ht="12.75">
      <c r="A41" s="2" t="s">
        <v>346</v>
      </c>
      <c r="B41" s="37">
        <v>42385.02</v>
      </c>
      <c r="C41" s="37">
        <v>34099.57</v>
      </c>
      <c r="D41" s="37">
        <v>28227.3</v>
      </c>
      <c r="E41" s="37">
        <f>SUM(B41:D41)</f>
        <v>104711.89</v>
      </c>
      <c r="F41" s="55">
        <f t="shared" si="3"/>
        <v>0.3845780033351798</v>
      </c>
    </row>
    <row r="42" spans="1:6" ht="12.75">
      <c r="A42" s="2" t="s">
        <v>436</v>
      </c>
      <c r="B42" s="37">
        <v>535131.5</v>
      </c>
      <c r="C42" s="37">
        <v>358176.07</v>
      </c>
      <c r="D42" s="37">
        <v>353149.75</v>
      </c>
      <c r="E42" s="37">
        <f>SUM(B42:D42)</f>
        <v>1246457.32</v>
      </c>
      <c r="F42" s="55">
        <f t="shared" si="3"/>
        <v>4.577895283602648</v>
      </c>
    </row>
    <row r="43" spans="1:6" ht="12.75">
      <c r="A43" s="2" t="s">
        <v>437</v>
      </c>
      <c r="B43" s="65">
        <v>162098.56</v>
      </c>
      <c r="C43" s="65">
        <v>123699.01</v>
      </c>
      <c r="D43" s="37">
        <v>105647.13</v>
      </c>
      <c r="E43" s="37">
        <f>SUM(B43:D43)</f>
        <v>391444.7</v>
      </c>
      <c r="F43" s="55">
        <f t="shared" si="3"/>
        <v>1.4376688372460706</v>
      </c>
    </row>
    <row r="44" spans="1:6" ht="12.75">
      <c r="A44" s="2" t="s">
        <v>52</v>
      </c>
      <c r="B44" s="37">
        <f>69366.96+27854.57</f>
        <v>97221.53</v>
      </c>
      <c r="C44" s="37">
        <f>3650.44+316.13+63.63+2022.67+89296+10026.79+9150.96</f>
        <v>114526.62</v>
      </c>
      <c r="D44" s="37">
        <f>20450.61+9495.67+611.39+19.16+1157.35</f>
        <v>31734.179999999997</v>
      </c>
      <c r="E44" s="37">
        <f>SUM(B44:D44)</f>
        <v>243482.33</v>
      </c>
      <c r="F44" s="55">
        <f t="shared" si="3"/>
        <v>0.8942437035450066</v>
      </c>
    </row>
    <row r="45" spans="1:8" ht="12.75">
      <c r="A45" s="11" t="s">
        <v>320</v>
      </c>
      <c r="B45" s="114">
        <f>SUM(B34:B44)</f>
        <v>1126745.6300000001</v>
      </c>
      <c r="C45" s="114">
        <f>SUM(C34:C44)</f>
        <v>832189.5499999999</v>
      </c>
      <c r="D45" s="114">
        <f>SUM(D34:D44)</f>
        <v>693040.25</v>
      </c>
      <c r="E45" s="114">
        <f>SUM(E34:E44)</f>
        <v>2651975.43</v>
      </c>
      <c r="F45" s="115">
        <f>SUM(F34:F44)</f>
        <v>9.739977148376893</v>
      </c>
      <c r="H45" s="33"/>
    </row>
    <row r="46" spans="2:6" ht="5.25" customHeight="1">
      <c r="B46" s="37"/>
      <c r="C46" s="37"/>
      <c r="D46" s="37"/>
      <c r="E46" s="37"/>
      <c r="F46" s="56"/>
    </row>
    <row r="47" spans="1:6" ht="13.5" thickBot="1">
      <c r="A47" s="7" t="s">
        <v>53</v>
      </c>
      <c r="B47" s="112">
        <f>B31+B45</f>
        <v>7501088.78</v>
      </c>
      <c r="C47" s="112">
        <f>C31+C45</f>
        <v>9284705.850000001</v>
      </c>
      <c r="D47" s="112">
        <f>D31+D45</f>
        <v>10441943.07</v>
      </c>
      <c r="E47" s="112">
        <f>E31+E45</f>
        <v>27227737.7</v>
      </c>
      <c r="F47" s="113">
        <f>F31+F45</f>
        <v>100</v>
      </c>
    </row>
    <row r="48" spans="1:6" ht="13.5" thickTop="1">
      <c r="A48" s="7"/>
      <c r="B48" s="38"/>
      <c r="C48" s="38"/>
      <c r="D48" s="38"/>
      <c r="E48" s="38"/>
      <c r="F48" s="57"/>
    </row>
    <row r="50" spans="1:6" ht="12.75">
      <c r="A50" s="11" t="s">
        <v>57</v>
      </c>
      <c r="B50" s="38"/>
      <c r="C50" s="38"/>
      <c r="D50" s="38"/>
      <c r="E50" s="38"/>
      <c r="F50" s="25"/>
    </row>
    <row r="51" ht="12.75">
      <c r="A51" s="30"/>
    </row>
    <row r="52" spans="1:7" ht="12.75">
      <c r="A52" s="21" t="s">
        <v>226</v>
      </c>
      <c r="B52" s="39"/>
      <c r="C52" s="39"/>
      <c r="D52" s="39"/>
      <c r="E52" s="39"/>
      <c r="F52" s="31"/>
      <c r="G52" s="31"/>
    </row>
    <row r="54" spans="1:6" ht="12.75">
      <c r="A54" s="7"/>
      <c r="B54" s="38"/>
      <c r="C54" s="38"/>
      <c r="D54" s="38"/>
      <c r="E54" s="38"/>
      <c r="F54" s="25"/>
    </row>
    <row r="55" spans="1:6" ht="12.75">
      <c r="A55" s="7"/>
      <c r="B55" s="38"/>
      <c r="C55" s="38"/>
      <c r="D55" s="38"/>
      <c r="E55" s="38"/>
      <c r="F55" s="25"/>
    </row>
    <row r="56" spans="1:6" ht="12.75">
      <c r="A56" s="7"/>
      <c r="B56" s="38"/>
      <c r="C56" s="38"/>
      <c r="D56" s="38"/>
      <c r="E56" s="38"/>
      <c r="F56" s="25"/>
    </row>
    <row r="57" spans="1:6" ht="12.75">
      <c r="A57" s="7"/>
      <c r="B57" s="38"/>
      <c r="C57" s="38"/>
      <c r="D57" s="38"/>
      <c r="E57" s="38"/>
      <c r="F57" s="25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984251968503937" bottom="0.984251968503937" header="0" footer="0"/>
  <pageSetup horizontalDpi="600" verticalDpi="600" orientation="portrait" r:id="rId1"/>
  <headerFooter alignWithMargins="0"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2" bestFit="1" customWidth="1"/>
    <col min="2" max="2" width="12.00390625" style="33" customWidth="1"/>
    <col min="3" max="3" width="12.421875" style="33" customWidth="1"/>
    <col min="4" max="4" width="12.7109375" style="33" customWidth="1"/>
    <col min="5" max="5" width="11.421875" style="33" customWidth="1"/>
    <col min="6" max="6" width="6.8515625" style="2" bestFit="1" customWidth="1"/>
    <col min="7" max="16384" width="11.421875" style="2" customWidth="1"/>
  </cols>
  <sheetData>
    <row r="1" spans="5:6" ht="13.5" thickBot="1">
      <c r="E1" s="275" t="s">
        <v>7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325</v>
      </c>
      <c r="B4" s="268"/>
      <c r="C4" s="268"/>
      <c r="D4" s="268"/>
      <c r="E4" s="268"/>
      <c r="F4" s="269"/>
    </row>
    <row r="5" spans="1:6" ht="15.75" thickBot="1">
      <c r="A5" s="270" t="s">
        <v>500</v>
      </c>
      <c r="B5" s="271"/>
      <c r="C5" s="271"/>
      <c r="D5" s="271"/>
      <c r="E5" s="271"/>
      <c r="F5" s="272"/>
    </row>
    <row r="6" spans="2:5" ht="8.25" customHeight="1" thickBot="1">
      <c r="B6" s="2"/>
      <c r="C6" s="2"/>
      <c r="D6" s="2"/>
      <c r="E6" s="2"/>
    </row>
    <row r="7" spans="1:6" ht="12.75">
      <c r="A7" s="184"/>
      <c r="B7" s="94"/>
      <c r="C7" s="94"/>
      <c r="D7" s="181"/>
      <c r="E7" s="181"/>
      <c r="F7" s="95"/>
    </row>
    <row r="8" spans="1:6" ht="12.75">
      <c r="A8" s="185" t="s">
        <v>21</v>
      </c>
      <c r="B8" s="97" t="s">
        <v>478</v>
      </c>
      <c r="C8" s="97" t="s">
        <v>479</v>
      </c>
      <c r="D8" s="97" t="s">
        <v>499</v>
      </c>
      <c r="E8" s="182" t="s">
        <v>22</v>
      </c>
      <c r="F8" s="98" t="s">
        <v>23</v>
      </c>
    </row>
    <row r="9" spans="1:6" ht="13.5" thickBot="1">
      <c r="A9" s="186"/>
      <c r="B9" s="99"/>
      <c r="C9" s="99"/>
      <c r="D9" s="183"/>
      <c r="E9" s="183"/>
      <c r="F9" s="100"/>
    </row>
    <row r="10" spans="1:6" ht="6" customHeight="1">
      <c r="A10" s="3"/>
      <c r="B10" s="34"/>
      <c r="C10" s="34"/>
      <c r="D10" s="34"/>
      <c r="E10" s="34"/>
      <c r="F10" s="3"/>
    </row>
    <row r="11" spans="1:6" ht="12.75">
      <c r="A11" s="9" t="s">
        <v>54</v>
      </c>
      <c r="B11" s="36">
        <v>123935</v>
      </c>
      <c r="C11" s="36">
        <v>432748</v>
      </c>
      <c r="D11" s="35">
        <v>151750</v>
      </c>
      <c r="E11" s="36">
        <f>SUM(B11:D11)</f>
        <v>708433</v>
      </c>
      <c r="F11" s="54">
        <f>(E11/$E$15*100)</f>
        <v>36.61585789739458</v>
      </c>
    </row>
    <row r="12" spans="1:6" ht="12.75">
      <c r="A12" s="9" t="s">
        <v>55</v>
      </c>
      <c r="B12" s="36">
        <v>33477</v>
      </c>
      <c r="C12" s="36">
        <v>115810</v>
      </c>
      <c r="D12" s="36">
        <v>1072241</v>
      </c>
      <c r="E12" s="36">
        <f>SUM(B12:D12)</f>
        <v>1221528</v>
      </c>
      <c r="F12" s="54">
        <f>(E12/$E$15*100)</f>
        <v>63.13553386938299</v>
      </c>
    </row>
    <row r="13" spans="1:6" ht="12.75">
      <c r="A13" s="2" t="s">
        <v>56</v>
      </c>
      <c r="B13" s="36">
        <f>2960+518</f>
        <v>3478</v>
      </c>
      <c r="C13" s="36">
        <v>1332</v>
      </c>
      <c r="D13" s="36"/>
      <c r="E13" s="36">
        <f>SUM(B13:D13)</f>
        <v>4810</v>
      </c>
      <c r="F13" s="54">
        <f>(E13/$E$15*100)</f>
        <v>0.24860823322243303</v>
      </c>
    </row>
    <row r="14" spans="2:6" ht="12.75">
      <c r="B14" s="42"/>
      <c r="C14" s="42"/>
      <c r="D14" s="36"/>
      <c r="E14" s="36"/>
      <c r="F14" s="54"/>
    </row>
    <row r="15" spans="1:6" ht="13.5" thickBot="1">
      <c r="A15" s="7" t="s">
        <v>238</v>
      </c>
      <c r="B15" s="116">
        <f>SUM(B11:B13)</f>
        <v>160890</v>
      </c>
      <c r="C15" s="116">
        <f>SUM(C11:C13)</f>
        <v>549890</v>
      </c>
      <c r="D15" s="116">
        <f>SUM(D11:D13)</f>
        <v>1223991</v>
      </c>
      <c r="E15" s="116">
        <f>SUM(E11:E13)</f>
        <v>1934771</v>
      </c>
      <c r="F15" s="117">
        <f>SUM(F11:F13)</f>
        <v>100</v>
      </c>
    </row>
    <row r="16" ht="13.5" thickTop="1"/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984251968503937" bottom="0.984251968503937" header="0" footer="0"/>
  <pageSetup horizontalDpi="600" verticalDpi="600" orientation="portrait" r:id="rId1"/>
  <headerFooter alignWithMargins="0"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">
      <selection activeCell="B29" sqref="B29:D29"/>
    </sheetView>
  </sheetViews>
  <sheetFormatPr defaultColWidth="9.140625" defaultRowHeight="12.75"/>
  <cols>
    <col min="1" max="1" width="4.421875" style="26" customWidth="1"/>
    <col min="2" max="2" width="21.28125" style="26" customWidth="1"/>
    <col min="3" max="3" width="12.140625" style="44" customWidth="1"/>
    <col min="4" max="4" width="13.00390625" style="44" customWidth="1"/>
    <col min="5" max="6" width="12.7109375" style="44" customWidth="1"/>
    <col min="7" max="7" width="8.421875" style="26" bestFit="1" customWidth="1"/>
    <col min="8" max="8" width="3.140625" style="26" customWidth="1"/>
    <col min="9" max="16384" width="11.421875" style="26" customWidth="1"/>
  </cols>
  <sheetData>
    <row r="1" spans="2:8" ht="13.5" thickBot="1">
      <c r="B1" s="2"/>
      <c r="C1" s="33"/>
      <c r="D1" s="33"/>
      <c r="E1" s="33"/>
      <c r="F1" s="275" t="s">
        <v>8</v>
      </c>
      <c r="G1" s="275"/>
      <c r="H1" s="2"/>
    </row>
    <row r="2" spans="1:8" ht="15">
      <c r="A2" s="261" t="s">
        <v>19</v>
      </c>
      <c r="B2" s="262"/>
      <c r="C2" s="262"/>
      <c r="D2" s="262"/>
      <c r="E2" s="262"/>
      <c r="F2" s="262"/>
      <c r="G2" s="263"/>
      <c r="H2" s="2"/>
    </row>
    <row r="3" spans="1:8" ht="15">
      <c r="A3" s="264" t="s">
        <v>20</v>
      </c>
      <c r="B3" s="265"/>
      <c r="C3" s="265"/>
      <c r="D3" s="265"/>
      <c r="E3" s="265"/>
      <c r="F3" s="265"/>
      <c r="G3" s="266"/>
      <c r="H3" s="2"/>
    </row>
    <row r="4" spans="1:8" ht="15">
      <c r="A4" s="267" t="s">
        <v>321</v>
      </c>
      <c r="B4" s="268"/>
      <c r="C4" s="268"/>
      <c r="D4" s="268"/>
      <c r="E4" s="268"/>
      <c r="F4" s="268"/>
      <c r="G4" s="269"/>
      <c r="H4" s="2"/>
    </row>
    <row r="5" spans="1:8" ht="15.75" thickBot="1">
      <c r="A5" s="270" t="s">
        <v>500</v>
      </c>
      <c r="B5" s="271"/>
      <c r="C5" s="271"/>
      <c r="D5" s="271"/>
      <c r="E5" s="271"/>
      <c r="F5" s="271"/>
      <c r="G5" s="272"/>
      <c r="H5" s="2"/>
    </row>
    <row r="6" spans="2:8" ht="8.25" customHeight="1" thickBot="1">
      <c r="B6" s="2"/>
      <c r="C6" s="2"/>
      <c r="D6" s="2"/>
      <c r="E6" s="2"/>
      <c r="F6" s="2"/>
      <c r="G6" s="2"/>
      <c r="H6" s="2"/>
    </row>
    <row r="7" spans="1:8" ht="12.75">
      <c r="A7" s="225"/>
      <c r="B7" s="181"/>
      <c r="C7" s="181"/>
      <c r="D7" s="94"/>
      <c r="E7" s="181"/>
      <c r="F7" s="181"/>
      <c r="G7" s="95"/>
      <c r="H7" s="2"/>
    </row>
    <row r="8" spans="1:8" ht="12.75">
      <c r="A8" s="276" t="s">
        <v>21</v>
      </c>
      <c r="B8" s="255"/>
      <c r="C8" s="235" t="s">
        <v>478</v>
      </c>
      <c r="D8" s="97" t="s">
        <v>479</v>
      </c>
      <c r="E8" s="97" t="s">
        <v>499</v>
      </c>
      <c r="F8" s="182" t="s">
        <v>22</v>
      </c>
      <c r="G8" s="98" t="s">
        <v>23</v>
      </c>
      <c r="H8" s="2"/>
    </row>
    <row r="9" spans="1:8" ht="13.5" thickBot="1">
      <c r="A9" s="226"/>
      <c r="B9" s="183"/>
      <c r="C9" s="183"/>
      <c r="D9" s="99"/>
      <c r="E9" s="183"/>
      <c r="F9" s="183"/>
      <c r="G9" s="100"/>
      <c r="H9" s="2"/>
    </row>
    <row r="10" spans="2:8" ht="6" customHeight="1">
      <c r="B10" s="3"/>
      <c r="C10" s="34"/>
      <c r="D10" s="34"/>
      <c r="E10" s="34"/>
      <c r="F10" s="34"/>
      <c r="G10" s="3"/>
      <c r="H10" s="2"/>
    </row>
    <row r="11" spans="2:8" ht="12.75" customHeight="1">
      <c r="B11" s="3"/>
      <c r="C11" s="34"/>
      <c r="D11" s="34"/>
      <c r="E11" s="34"/>
      <c r="F11" s="34"/>
      <c r="G11" s="3"/>
      <c r="H11" s="2"/>
    </row>
    <row r="12" spans="1:8" ht="12.75">
      <c r="A12" s="236" t="s">
        <v>302</v>
      </c>
      <c r="C12" s="36">
        <v>1173200</v>
      </c>
      <c r="D12" s="36">
        <v>245000</v>
      </c>
      <c r="E12" s="35">
        <v>3804416.46</v>
      </c>
      <c r="F12" s="36">
        <f>SUM(C12:E12)</f>
        <v>5222616.46</v>
      </c>
      <c r="G12" s="54">
        <f>(F12/$F$18*100)</f>
        <v>74.51458288137506</v>
      </c>
      <c r="H12" s="16" t="s">
        <v>25</v>
      </c>
    </row>
    <row r="13" spans="1:8" ht="12.75">
      <c r="A13" s="24" t="s">
        <v>58</v>
      </c>
      <c r="C13" s="36">
        <v>243342.35</v>
      </c>
      <c r="D13" s="36">
        <v>122150.21</v>
      </c>
      <c r="E13" s="35">
        <v>287248.91</v>
      </c>
      <c r="F13" s="36">
        <f>SUM(C13:E13)</f>
        <v>652741.47</v>
      </c>
      <c r="G13" s="54">
        <f>(F13/$F$18*100)</f>
        <v>9.313101725724964</v>
      </c>
      <c r="H13" s="16"/>
    </row>
    <row r="14" spans="1:7" ht="12.75">
      <c r="A14" s="24" t="s">
        <v>59</v>
      </c>
      <c r="C14" s="35">
        <v>220048</v>
      </c>
      <c r="D14" s="35">
        <v>263615</v>
      </c>
      <c r="E14" s="35">
        <v>59350</v>
      </c>
      <c r="F14" s="36">
        <f>SUM(C14:E14)</f>
        <v>543013</v>
      </c>
      <c r="G14" s="54">
        <f>(F14/$F$18*100)</f>
        <v>7.747531817445412</v>
      </c>
    </row>
    <row r="15" spans="1:8" ht="12.75">
      <c r="A15" s="24" t="s">
        <v>60</v>
      </c>
      <c r="C15" s="35">
        <v>316310</v>
      </c>
      <c r="D15" s="35"/>
      <c r="E15" s="35">
        <v>138000</v>
      </c>
      <c r="F15" s="36">
        <f>SUM(C15:E15)</f>
        <v>454310</v>
      </c>
      <c r="G15" s="54">
        <f>(F15/$F$18*100)</f>
        <v>6.481946435874694</v>
      </c>
      <c r="H15" s="16"/>
    </row>
    <row r="16" spans="1:7" ht="12.75">
      <c r="A16" s="9" t="s">
        <v>61</v>
      </c>
      <c r="C16" s="35">
        <v>-2.82</v>
      </c>
      <c r="D16" s="35">
        <v>136173.39</v>
      </c>
      <c r="E16" s="35"/>
      <c r="F16" s="36">
        <f>SUM(C16:E16)</f>
        <v>136170.57</v>
      </c>
      <c r="G16" s="54">
        <f>(F16/$F$18*100)</f>
        <v>1.9428371395798585</v>
      </c>
    </row>
    <row r="17" spans="1:8" ht="12.75">
      <c r="A17" s="24"/>
      <c r="C17" s="42"/>
      <c r="D17" s="42"/>
      <c r="E17" s="43"/>
      <c r="F17" s="42"/>
      <c r="G17" s="52"/>
      <c r="H17" s="2"/>
    </row>
    <row r="18" spans="1:8" ht="13.5" thickBot="1">
      <c r="A18" s="227" t="s">
        <v>238</v>
      </c>
      <c r="C18" s="116">
        <f>SUM(C12:C16)</f>
        <v>1952897.53</v>
      </c>
      <c r="D18" s="116">
        <f>SUM(D12:D16)</f>
        <v>766938.6</v>
      </c>
      <c r="E18" s="116">
        <f>SUM(E12:E16)</f>
        <v>4289015.37</v>
      </c>
      <c r="F18" s="116">
        <f>SUM(F12:F16)</f>
        <v>7008851.5</v>
      </c>
      <c r="G18" s="118">
        <f>SUM(G12:G16)</f>
        <v>99.99999999999999</v>
      </c>
      <c r="H18" s="2"/>
    </row>
    <row r="19" spans="2:8" ht="13.5" thickTop="1">
      <c r="B19" s="2"/>
      <c r="C19" s="33"/>
      <c r="D19" s="33"/>
      <c r="E19" s="33"/>
      <c r="F19" s="33"/>
      <c r="G19" s="2"/>
      <c r="H19" s="2"/>
    </row>
    <row r="20" spans="2:8" ht="12.75">
      <c r="B20" s="2"/>
      <c r="C20" s="33"/>
      <c r="D20" s="33"/>
      <c r="E20" s="33"/>
      <c r="F20" s="33"/>
      <c r="G20" s="2"/>
      <c r="H20" s="2"/>
    </row>
    <row r="21" spans="2:8" ht="12.75">
      <c r="B21" s="2"/>
      <c r="C21" s="33"/>
      <c r="D21" s="33"/>
      <c r="E21" s="33"/>
      <c r="F21" s="33"/>
      <c r="G21" s="2"/>
      <c r="H21" s="2"/>
    </row>
    <row r="22" spans="2:8" ht="12.75">
      <c r="B22" s="2"/>
      <c r="C22" s="33"/>
      <c r="D22" s="33"/>
      <c r="E22" s="33"/>
      <c r="F22" s="33"/>
      <c r="G22" s="2"/>
      <c r="H22" s="2"/>
    </row>
    <row r="23" spans="2:8" ht="12.75">
      <c r="B23" s="2"/>
      <c r="C23" s="33"/>
      <c r="D23" s="33"/>
      <c r="E23" s="33"/>
      <c r="F23" s="33"/>
      <c r="G23" s="2"/>
      <c r="H23" s="2"/>
    </row>
    <row r="24" spans="1:8" ht="12.75">
      <c r="A24" s="11" t="s">
        <v>62</v>
      </c>
      <c r="B24" s="2"/>
      <c r="C24" s="33"/>
      <c r="D24" s="33"/>
      <c r="E24" s="33"/>
      <c r="F24" s="33"/>
      <c r="G24" s="2"/>
      <c r="H24" s="2"/>
    </row>
    <row r="25" spans="2:8" ht="12.75">
      <c r="B25" s="2"/>
      <c r="C25" s="33"/>
      <c r="D25" s="33"/>
      <c r="E25" s="33"/>
      <c r="F25" s="33"/>
      <c r="G25" s="2"/>
      <c r="H25" s="2"/>
    </row>
    <row r="26" spans="1:8" ht="27.75" customHeight="1">
      <c r="A26" s="238" t="s">
        <v>25</v>
      </c>
      <c r="B26" s="279" t="s">
        <v>561</v>
      </c>
      <c r="C26" s="280"/>
      <c r="D26" s="280"/>
      <c r="E26" s="237" t="s">
        <v>541</v>
      </c>
      <c r="F26" s="239">
        <v>673200</v>
      </c>
      <c r="G26" s="2"/>
      <c r="H26" s="2"/>
    </row>
    <row r="27" spans="2:8" ht="30" customHeight="1">
      <c r="B27" s="279" t="s">
        <v>562</v>
      </c>
      <c r="C27" s="280"/>
      <c r="D27" s="280"/>
      <c r="E27" s="237"/>
      <c r="F27" s="239">
        <v>500000</v>
      </c>
      <c r="G27" s="2"/>
      <c r="H27" s="2"/>
    </row>
    <row r="28" spans="2:8" ht="27" customHeight="1">
      <c r="B28" s="279" t="s">
        <v>563</v>
      </c>
      <c r="C28" s="280"/>
      <c r="D28" s="280"/>
      <c r="E28" s="237"/>
      <c r="F28" s="239">
        <v>200000</v>
      </c>
      <c r="G28" s="2"/>
      <c r="H28" s="2"/>
    </row>
    <row r="29" spans="2:8" ht="41.25" customHeight="1">
      <c r="B29" s="279" t="s">
        <v>564</v>
      </c>
      <c r="C29" s="280"/>
      <c r="D29" s="280"/>
      <c r="E29" s="237"/>
      <c r="F29" s="239">
        <v>45000</v>
      </c>
      <c r="G29" s="2"/>
      <c r="H29" s="2"/>
    </row>
    <row r="30" spans="2:8" ht="45.75" customHeight="1">
      <c r="B30" s="279" t="s">
        <v>565</v>
      </c>
      <c r="C30" s="280"/>
      <c r="D30" s="280"/>
      <c r="E30" s="237"/>
      <c r="F30" s="240">
        <v>3804416.46</v>
      </c>
      <c r="G30" s="2"/>
      <c r="H30" s="2"/>
    </row>
    <row r="31" spans="2:8" ht="12.75">
      <c r="B31" s="2"/>
      <c r="C31" s="33"/>
      <c r="D31" s="33"/>
      <c r="E31" s="237"/>
      <c r="F31" s="239"/>
      <c r="G31" s="2"/>
      <c r="H31" s="2"/>
    </row>
    <row r="32" spans="2:8" ht="13.5" thickBot="1">
      <c r="B32" s="2"/>
      <c r="C32" s="33"/>
      <c r="D32" s="33"/>
      <c r="E32" s="230" t="s">
        <v>541</v>
      </c>
      <c r="F32" s="234">
        <f>SUM(F26:F31)</f>
        <v>5222616.46</v>
      </c>
      <c r="G32" s="2"/>
      <c r="H32" s="2"/>
    </row>
    <row r="33" spans="2:8" ht="13.5" thickTop="1">
      <c r="B33" s="2"/>
      <c r="C33" s="33"/>
      <c r="D33" s="33"/>
      <c r="E33" s="237"/>
      <c r="F33" s="239"/>
      <c r="G33" s="2"/>
      <c r="H33" s="2"/>
    </row>
    <row r="34" spans="2:8" ht="12.75">
      <c r="B34" s="2"/>
      <c r="C34" s="33"/>
      <c r="D34" s="33"/>
      <c r="E34" s="237"/>
      <c r="F34" s="239"/>
      <c r="G34" s="2"/>
      <c r="H34" s="2"/>
    </row>
    <row r="35" spans="2:8" ht="12.75">
      <c r="B35" s="2"/>
      <c r="C35" s="33"/>
      <c r="D35" s="33"/>
      <c r="E35" s="237"/>
      <c r="F35" s="239"/>
      <c r="G35" s="2"/>
      <c r="H35" s="2"/>
    </row>
    <row r="36" spans="2:8" ht="12.75">
      <c r="B36" s="2"/>
      <c r="C36" s="33"/>
      <c r="D36" s="33"/>
      <c r="E36" s="237"/>
      <c r="F36" s="239"/>
      <c r="G36" s="2"/>
      <c r="H36" s="2"/>
    </row>
    <row r="37" spans="2:8" ht="12.75">
      <c r="B37" s="2"/>
      <c r="C37" s="33"/>
      <c r="D37" s="33"/>
      <c r="E37" s="237"/>
      <c r="F37" s="239"/>
      <c r="G37" s="2"/>
      <c r="H37" s="2"/>
    </row>
    <row r="38" spans="2:8" ht="12.75">
      <c r="B38" s="2"/>
      <c r="C38" s="33"/>
      <c r="D38" s="33"/>
      <c r="E38" s="237"/>
      <c r="F38" s="239"/>
      <c r="G38" s="2"/>
      <c r="H38" s="2"/>
    </row>
    <row r="39" spans="2:8" ht="12.75">
      <c r="B39" s="2"/>
      <c r="C39" s="33"/>
      <c r="D39" s="33"/>
      <c r="E39" s="237"/>
      <c r="F39" s="221"/>
      <c r="G39" s="2"/>
      <c r="H39" s="2"/>
    </row>
    <row r="40" spans="2:8" ht="12.75">
      <c r="B40" s="2"/>
      <c r="C40" s="33"/>
      <c r="D40" s="33"/>
      <c r="E40" s="33"/>
      <c r="F40" s="33"/>
      <c r="G40" s="2"/>
      <c r="H40" s="2"/>
    </row>
    <row r="41" spans="2:8" ht="12.75">
      <c r="B41" s="2"/>
      <c r="C41" s="33"/>
      <c r="D41" s="33"/>
      <c r="E41" s="33"/>
      <c r="F41" s="33"/>
      <c r="G41" s="2"/>
      <c r="H41" s="2"/>
    </row>
    <row r="42" spans="2:8" ht="12.75">
      <c r="B42" s="2"/>
      <c r="C42" s="33"/>
      <c r="D42" s="33"/>
      <c r="E42" s="33"/>
      <c r="F42" s="33"/>
      <c r="G42" s="2"/>
      <c r="H42" s="2"/>
    </row>
    <row r="43" spans="3:8" ht="12.75">
      <c r="C43" s="33"/>
      <c r="D43" s="33"/>
      <c r="E43" s="33"/>
      <c r="F43" s="33"/>
      <c r="G43" s="2"/>
      <c r="H43" s="2"/>
    </row>
    <row r="44" spans="3:8" ht="12.75">
      <c r="C44" s="33"/>
      <c r="D44" s="33"/>
      <c r="E44" s="33"/>
      <c r="F44" s="33"/>
      <c r="G44" s="2"/>
      <c r="H44" s="2"/>
    </row>
  </sheetData>
  <mergeCells count="11">
    <mergeCell ref="B27:D27"/>
    <mergeCell ref="B28:D28"/>
    <mergeCell ref="F1:G1"/>
    <mergeCell ref="B29:D29"/>
    <mergeCell ref="B30:D30"/>
    <mergeCell ref="A2:G2"/>
    <mergeCell ref="A3:G3"/>
    <mergeCell ref="A4:G4"/>
    <mergeCell ref="A5:G5"/>
    <mergeCell ref="A8:B8"/>
    <mergeCell ref="B26:D26"/>
  </mergeCells>
  <printOptions/>
  <pageMargins left="0.984251968503937" right="0.26" top="0.984251968503937" bottom="0.82" header="0" footer="0"/>
  <pageSetup fitToHeight="1" fitToWidth="1" horizontalDpi="600" verticalDpi="600" orientation="portrait" r:id="rId1"/>
  <headerFooter alignWithMargins="0"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20" sqref="A20"/>
    </sheetView>
  </sheetViews>
  <sheetFormatPr defaultColWidth="9.140625" defaultRowHeight="12.75"/>
  <cols>
    <col min="1" max="1" width="41.28125" style="2" customWidth="1"/>
    <col min="2" max="3" width="9.7109375" style="33" customWidth="1"/>
    <col min="4" max="4" width="10.28125" style="33" customWidth="1"/>
    <col min="5" max="5" width="11.421875" style="33" customWidth="1"/>
    <col min="6" max="6" width="6.8515625" style="2" bestFit="1" customWidth="1"/>
    <col min="7" max="7" width="2.7109375" style="2" customWidth="1"/>
    <col min="8" max="16384" width="11.421875" style="2" customWidth="1"/>
  </cols>
  <sheetData>
    <row r="1" spans="5:6" ht="13.5" thickBot="1">
      <c r="E1" s="275" t="s">
        <v>165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322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spans="2:5" ht="8.25" customHeight="1" thickBot="1">
      <c r="B6" s="2"/>
      <c r="C6" s="2"/>
      <c r="D6" s="2"/>
      <c r="E6" s="2"/>
    </row>
    <row r="7" spans="1:6" ht="12.75">
      <c r="A7" s="184"/>
      <c r="B7" s="94"/>
      <c r="C7" s="94"/>
      <c r="D7" s="181"/>
      <c r="E7" s="181"/>
      <c r="F7" s="95"/>
    </row>
    <row r="8" spans="1:6" ht="12.75">
      <c r="A8" s="185" t="s">
        <v>21</v>
      </c>
      <c r="B8" s="97" t="s">
        <v>478</v>
      </c>
      <c r="C8" s="97" t="s">
        <v>479</v>
      </c>
      <c r="D8" s="97" t="s">
        <v>499</v>
      </c>
      <c r="E8" s="182" t="s">
        <v>22</v>
      </c>
      <c r="F8" s="98" t="s">
        <v>23</v>
      </c>
    </row>
    <row r="9" spans="1:6" ht="13.5" thickBot="1">
      <c r="A9" s="186"/>
      <c r="B9" s="99"/>
      <c r="C9" s="99"/>
      <c r="D9" s="183"/>
      <c r="E9" s="183"/>
      <c r="F9" s="100"/>
    </row>
    <row r="10" spans="1:6" ht="12.75" customHeight="1">
      <c r="A10" s="3"/>
      <c r="B10" s="36"/>
      <c r="C10" s="36"/>
      <c r="D10" s="34"/>
      <c r="E10" s="34"/>
      <c r="F10" s="3"/>
    </row>
    <row r="11" spans="1:6" ht="12.75" customHeight="1">
      <c r="A11" s="3"/>
      <c r="B11" s="36"/>
      <c r="C11" s="36"/>
      <c r="D11" s="34"/>
      <c r="E11" s="34"/>
      <c r="F11" s="3"/>
    </row>
    <row r="12" spans="1:7" ht="12.75" customHeight="1">
      <c r="A12" s="10" t="s">
        <v>472</v>
      </c>
      <c r="B12" s="36">
        <v>10000</v>
      </c>
      <c r="C12" s="36"/>
      <c r="D12" s="42"/>
      <c r="E12" s="36">
        <f>SUM(B12:D12)</f>
        <v>10000</v>
      </c>
      <c r="F12" s="54">
        <f>(E12/$E$18*100)</f>
        <v>2.2011401906187404</v>
      </c>
      <c r="G12" s="12" t="s">
        <v>25</v>
      </c>
    </row>
    <row r="13" spans="1:7" ht="12.75">
      <c r="A13" s="10" t="s">
        <v>475</v>
      </c>
      <c r="B13" s="42">
        <v>306310</v>
      </c>
      <c r="C13" s="42"/>
      <c r="D13" s="35"/>
      <c r="E13" s="36">
        <f>SUM(B13:D13)</f>
        <v>306310</v>
      </c>
      <c r="F13" s="54">
        <f>(E13/$E$18*100)</f>
        <v>67.42312517884264</v>
      </c>
      <c r="G13" s="12" t="s">
        <v>26</v>
      </c>
    </row>
    <row r="14" spans="1:8" ht="12.75">
      <c r="A14" s="10" t="s">
        <v>524</v>
      </c>
      <c r="B14" s="36"/>
      <c r="C14" s="36"/>
      <c r="D14" s="36">
        <v>130000</v>
      </c>
      <c r="E14" s="36">
        <f>SUM(B14:D14)</f>
        <v>130000</v>
      </c>
      <c r="F14" s="54">
        <f>(E14/$E$18*100)</f>
        <v>28.614822478043628</v>
      </c>
      <c r="G14" s="12" t="s">
        <v>29</v>
      </c>
      <c r="H14" s="12"/>
    </row>
    <row r="15" spans="1:8" ht="12.75">
      <c r="A15" s="10" t="s">
        <v>525</v>
      </c>
      <c r="B15" s="36"/>
      <c r="C15" s="36"/>
      <c r="D15" s="36">
        <v>8000</v>
      </c>
      <c r="E15" s="36">
        <f>SUM(B15:D15)</f>
        <v>8000</v>
      </c>
      <c r="F15" s="54">
        <f>(E15/$E$18*100)</f>
        <v>1.7609121524949927</v>
      </c>
      <c r="G15" s="12" t="s">
        <v>373</v>
      </c>
      <c r="H15" s="12"/>
    </row>
    <row r="16" spans="5:6" ht="12.75" customHeight="1">
      <c r="E16" s="36"/>
      <c r="F16" s="54"/>
    </row>
    <row r="17" spans="2:7" ht="4.5" customHeight="1">
      <c r="B17" s="120"/>
      <c r="C17" s="120"/>
      <c r="D17" s="43"/>
      <c r="E17" s="36"/>
      <c r="F17" s="54"/>
      <c r="G17" s="12"/>
    </row>
    <row r="18" spans="1:7" ht="13.5" thickBot="1">
      <c r="A18" s="7" t="s">
        <v>238</v>
      </c>
      <c r="B18" s="116">
        <f>SUM(B12:B15)</f>
        <v>316310</v>
      </c>
      <c r="C18" s="116">
        <f>SUM(C12:C15)</f>
        <v>0</v>
      </c>
      <c r="D18" s="116">
        <f>SUM(D12:D15)</f>
        <v>138000</v>
      </c>
      <c r="E18" s="116">
        <f>SUM(E12:E15)</f>
        <v>454310</v>
      </c>
      <c r="F18" s="116">
        <f>SUM(F12:F15)</f>
        <v>100</v>
      </c>
      <c r="G18" s="12"/>
    </row>
    <row r="19" spans="2:6" ht="13.5" thickTop="1">
      <c r="B19" s="120"/>
      <c r="C19" s="120"/>
      <c r="D19" s="120"/>
      <c r="E19" s="120"/>
      <c r="F19" s="25"/>
    </row>
    <row r="20" spans="1:6" ht="12.75">
      <c r="A20" s="21"/>
      <c r="B20" s="120"/>
      <c r="C20" s="120"/>
      <c r="D20" s="120"/>
      <c r="E20" s="120"/>
      <c r="F20" s="25"/>
    </row>
    <row r="21" spans="1:6" ht="12.75">
      <c r="A21" s="21"/>
      <c r="B21" s="120"/>
      <c r="C21" s="120"/>
      <c r="D21" s="120"/>
      <c r="E21" s="120"/>
      <c r="F21" s="25"/>
    </row>
    <row r="22" spans="1:6" ht="12.75">
      <c r="A22" s="121"/>
      <c r="B22" s="120"/>
      <c r="C22" s="120"/>
      <c r="D22" s="120"/>
      <c r="E22" s="120"/>
      <c r="F22" s="25"/>
    </row>
    <row r="23" spans="1:6" ht="12.75">
      <c r="A23" s="121"/>
      <c r="B23" s="120"/>
      <c r="C23" s="120"/>
      <c r="D23" s="120"/>
      <c r="E23" s="120"/>
      <c r="F23" s="25"/>
    </row>
    <row r="24" spans="1:6" ht="12.75">
      <c r="A24" s="21"/>
      <c r="B24" s="120"/>
      <c r="C24" s="120"/>
      <c r="D24" s="120"/>
      <c r="E24" s="120"/>
      <c r="F24" s="25"/>
    </row>
    <row r="25" spans="1:6" ht="12.75">
      <c r="A25" s="21"/>
      <c r="B25" s="120"/>
      <c r="C25" s="120"/>
      <c r="D25" s="120"/>
      <c r="E25" s="120"/>
      <c r="F25" s="25"/>
    </row>
    <row r="26" spans="1:6" ht="12.75">
      <c r="A26" s="121"/>
      <c r="B26" s="120"/>
      <c r="C26" s="120"/>
      <c r="D26" s="120"/>
      <c r="E26" s="120"/>
      <c r="F26" s="25"/>
    </row>
    <row r="27" spans="1:6" ht="12.75">
      <c r="A27" s="21"/>
      <c r="B27" s="120"/>
      <c r="C27" s="120"/>
      <c r="D27" s="120"/>
      <c r="E27" s="120"/>
      <c r="F27" s="25"/>
    </row>
    <row r="28" spans="1:6" ht="12.75">
      <c r="A28" s="121"/>
      <c r="B28" s="120"/>
      <c r="C28" s="120"/>
      <c r="D28" s="120"/>
      <c r="E28" s="120"/>
      <c r="F28" s="25"/>
    </row>
    <row r="29" spans="1:6" ht="12.75">
      <c r="A29" s="21"/>
      <c r="B29" s="120"/>
      <c r="C29" s="120"/>
      <c r="D29" s="120"/>
      <c r="E29" s="120"/>
      <c r="F29" s="25"/>
    </row>
    <row r="30" spans="1:6" ht="12.75">
      <c r="A30" s="21"/>
      <c r="B30" s="120"/>
      <c r="C30" s="120"/>
      <c r="D30" s="120"/>
      <c r="E30" s="120"/>
      <c r="F30" s="25"/>
    </row>
    <row r="31" spans="1:6" ht="12.75">
      <c r="A31" s="21"/>
      <c r="B31" s="120"/>
      <c r="C31" s="120"/>
      <c r="D31" s="120"/>
      <c r="E31" s="120"/>
      <c r="F31" s="25"/>
    </row>
    <row r="32" spans="1:6" ht="12.75">
      <c r="A32" s="121"/>
      <c r="B32" s="120"/>
      <c r="C32" s="120"/>
      <c r="D32" s="120"/>
      <c r="E32" s="120"/>
      <c r="F32" s="25"/>
    </row>
    <row r="33" spans="1:6" ht="12" customHeight="1">
      <c r="A33" s="121"/>
      <c r="B33" s="120"/>
      <c r="C33" s="120"/>
      <c r="D33" s="120"/>
      <c r="E33" s="120"/>
      <c r="F33" s="25"/>
    </row>
    <row r="34" spans="1:7" ht="12.75">
      <c r="A34" s="64"/>
      <c r="B34" s="122"/>
      <c r="C34" s="122"/>
      <c r="D34" s="122"/>
      <c r="E34" s="122"/>
      <c r="F34" s="123"/>
      <c r="G34" s="124"/>
    </row>
    <row r="35" spans="1:7" ht="12.75">
      <c r="A35" s="21"/>
      <c r="B35" s="122"/>
      <c r="C35" s="122"/>
      <c r="D35" s="122"/>
      <c r="E35" s="122"/>
      <c r="F35" s="123"/>
      <c r="G35" s="124"/>
    </row>
    <row r="36" spans="1:7" ht="12.75">
      <c r="A36" s="64"/>
      <c r="B36" s="122"/>
      <c r="C36" s="122"/>
      <c r="D36" s="122"/>
      <c r="E36" s="122"/>
      <c r="F36" s="123"/>
      <c r="G36" s="124"/>
    </row>
    <row r="37" spans="1:7" ht="12.75">
      <c r="A37" s="21"/>
      <c r="B37" s="122"/>
      <c r="C37" s="122"/>
      <c r="D37" s="122"/>
      <c r="E37" s="122"/>
      <c r="F37" s="123"/>
      <c r="G37" s="124"/>
    </row>
    <row r="38" spans="1:7" ht="12.75">
      <c r="A38" s="21"/>
      <c r="B38" s="122"/>
      <c r="C38" s="122"/>
      <c r="D38" s="122"/>
      <c r="E38" s="122"/>
      <c r="F38" s="123"/>
      <c r="G38" s="124"/>
    </row>
    <row r="39" spans="1:7" ht="12.75">
      <c r="A39" s="21"/>
      <c r="B39" s="122"/>
      <c r="C39" s="122"/>
      <c r="D39" s="122"/>
      <c r="E39" s="122"/>
      <c r="F39" s="123"/>
      <c r="G39" s="124"/>
    </row>
    <row r="40" spans="1:7" ht="12.75">
      <c r="A40" s="21"/>
      <c r="B40" s="122"/>
      <c r="C40" s="122"/>
      <c r="D40" s="122"/>
      <c r="E40" s="122"/>
      <c r="F40" s="123"/>
      <c r="G40" s="124"/>
    </row>
    <row r="41" spans="1:7" ht="12.75">
      <c r="A41" s="21"/>
      <c r="B41" s="122"/>
      <c r="C41" s="122"/>
      <c r="D41" s="122"/>
      <c r="E41" s="122"/>
      <c r="F41" s="123"/>
      <c r="G41" s="124"/>
    </row>
    <row r="42" spans="1:7" ht="12.75">
      <c r="A42" s="21"/>
      <c r="B42" s="122"/>
      <c r="C42" s="122"/>
      <c r="D42" s="122"/>
      <c r="E42" s="122"/>
      <c r="F42" s="123"/>
      <c r="G42" s="124"/>
    </row>
    <row r="43" spans="1:7" ht="12.75">
      <c r="A43" s="21"/>
      <c r="B43" s="122"/>
      <c r="C43" s="122"/>
      <c r="D43" s="122"/>
      <c r="E43" s="122"/>
      <c r="F43" s="123"/>
      <c r="G43" s="124"/>
    </row>
    <row r="44" spans="1:7" ht="12.75">
      <c r="A44" s="21"/>
      <c r="B44" s="122"/>
      <c r="C44" s="122"/>
      <c r="D44" s="122"/>
      <c r="E44" s="122"/>
      <c r="F44" s="123"/>
      <c r="G44" s="124"/>
    </row>
    <row r="45" spans="1:7" ht="12.75">
      <c r="A45" s="21"/>
      <c r="B45" s="122"/>
      <c r="C45" s="122"/>
      <c r="D45" s="122"/>
      <c r="E45" s="122"/>
      <c r="F45" s="123"/>
      <c r="G45" s="124"/>
    </row>
    <row r="46" spans="1:7" ht="12.75">
      <c r="A46" s="21"/>
      <c r="B46" s="122"/>
      <c r="C46" s="122"/>
      <c r="D46" s="122"/>
      <c r="E46" s="122"/>
      <c r="F46" s="123"/>
      <c r="G46" s="124"/>
    </row>
    <row r="47" spans="1:7" ht="12.75">
      <c r="A47" s="21"/>
      <c r="B47" s="122"/>
      <c r="C47" s="122"/>
      <c r="D47" s="122"/>
      <c r="E47" s="122"/>
      <c r="F47" s="123"/>
      <c r="G47" s="124"/>
    </row>
    <row r="48" spans="1:7" ht="12.75">
      <c r="A48" s="21"/>
      <c r="B48" s="122"/>
      <c r="C48" s="122"/>
      <c r="D48" s="122"/>
      <c r="E48" s="122"/>
      <c r="F48" s="123"/>
      <c r="G48" s="124"/>
    </row>
    <row r="49" spans="1:7" ht="12.75">
      <c r="A49" s="21"/>
      <c r="B49" s="122"/>
      <c r="C49" s="122"/>
      <c r="D49" s="122"/>
      <c r="E49" s="122"/>
      <c r="F49" s="123"/>
      <c r="G49" s="124"/>
    </row>
    <row r="50" spans="1:7" ht="12.75">
      <c r="A50" s="21"/>
      <c r="B50" s="122"/>
      <c r="C50" s="122"/>
      <c r="D50" s="122"/>
      <c r="E50" s="122"/>
      <c r="F50" s="123"/>
      <c r="G50" s="124"/>
    </row>
    <row r="51" spans="1:6" ht="12.75">
      <c r="A51" s="125"/>
      <c r="B51" s="126"/>
      <c r="C51" s="126"/>
      <c r="D51" s="126"/>
      <c r="E51" s="126"/>
      <c r="F51" s="125"/>
    </row>
    <row r="52" spans="1:6" ht="12.75">
      <c r="A52" s="125"/>
      <c r="B52" s="126"/>
      <c r="C52" s="126"/>
      <c r="D52" s="126"/>
      <c r="E52" s="126"/>
      <c r="F52" s="125"/>
    </row>
    <row r="53" spans="1:6" ht="12.75">
      <c r="A53" s="125"/>
      <c r="B53" s="126"/>
      <c r="C53" s="126"/>
      <c r="D53" s="126"/>
      <c r="E53" s="126"/>
      <c r="F53" s="125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37" top="0.984251968503937" bottom="0.984251968503937" header="0" footer="0"/>
  <pageSetup horizontalDpi="600" verticalDpi="600" orientation="portrait" r:id="rId1"/>
  <headerFooter alignWithMargins="0"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126">
      <selection activeCell="B143" sqref="B143"/>
    </sheetView>
  </sheetViews>
  <sheetFormatPr defaultColWidth="13.421875" defaultRowHeight="12.75"/>
  <cols>
    <col min="1" max="1" width="41.140625" style="2" customWidth="1"/>
    <col min="2" max="5" width="11.7109375" style="33" bestFit="1" customWidth="1"/>
    <col min="6" max="6" width="6.00390625" style="2" bestFit="1" customWidth="1"/>
    <col min="7" max="7" width="1.8515625" style="2" customWidth="1"/>
    <col min="8" max="16384" width="13.421875" style="2" customWidth="1"/>
  </cols>
  <sheetData>
    <row r="1" spans="5:6" ht="13.5" thickBot="1">
      <c r="E1" s="275" t="s">
        <v>10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326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spans="2:5" ht="8.25" customHeight="1" thickBot="1">
      <c r="B6" s="2"/>
      <c r="C6" s="2"/>
      <c r="D6" s="2"/>
      <c r="E6" s="2"/>
    </row>
    <row r="7" spans="1:6" ht="12.75">
      <c r="A7" s="94"/>
      <c r="B7" s="94"/>
      <c r="C7" s="94"/>
      <c r="D7" s="94"/>
      <c r="E7" s="94"/>
      <c r="F7" s="95"/>
    </row>
    <row r="8" spans="1:6" ht="12.75">
      <c r="A8" s="96" t="s">
        <v>21</v>
      </c>
      <c r="B8" s="97" t="s">
        <v>478</v>
      </c>
      <c r="C8" s="97" t="s">
        <v>479</v>
      </c>
      <c r="D8" s="97" t="s">
        <v>499</v>
      </c>
      <c r="E8" s="96" t="s">
        <v>22</v>
      </c>
      <c r="F8" s="98" t="s">
        <v>23</v>
      </c>
    </row>
    <row r="9" spans="1:6" ht="13.5" thickBot="1">
      <c r="A9" s="99"/>
      <c r="B9" s="99"/>
      <c r="C9" s="99"/>
      <c r="D9" s="99"/>
      <c r="E9" s="99"/>
      <c r="F9" s="100"/>
    </row>
    <row r="10" spans="2:6" ht="6" customHeight="1">
      <c r="B10" s="45"/>
      <c r="C10" s="45"/>
      <c r="E10" s="45"/>
      <c r="F10" s="127"/>
    </row>
    <row r="11" spans="1:6" ht="12.75">
      <c r="A11" s="8" t="s">
        <v>63</v>
      </c>
      <c r="B11" s="45">
        <v>347961.22</v>
      </c>
      <c r="C11" s="45">
        <v>1268607.63</v>
      </c>
      <c r="D11" s="45">
        <v>1269825.37</v>
      </c>
      <c r="E11" s="46">
        <f aca="true" t="shared" si="0" ref="E11:E37">SUM(B11:D11)</f>
        <v>2886394.2199999997</v>
      </c>
      <c r="F11" s="1">
        <f aca="true" t="shared" si="1" ref="F11:F37">(E11/$E$145)*100</f>
        <v>0.5852280774210618</v>
      </c>
    </row>
    <row r="12" spans="1:6" ht="12.75">
      <c r="A12" s="8" t="s">
        <v>348</v>
      </c>
      <c r="B12" s="45">
        <v>23735.38</v>
      </c>
      <c r="C12" s="45">
        <v>23735.38</v>
      </c>
      <c r="D12" s="45">
        <v>6200.81</v>
      </c>
      <c r="E12" s="46">
        <f t="shared" si="0"/>
        <v>53671.57</v>
      </c>
      <c r="F12" s="1">
        <f t="shared" si="1"/>
        <v>0.010882127432776641</v>
      </c>
    </row>
    <row r="13" spans="1:6" ht="12.75">
      <c r="A13" s="8" t="s">
        <v>368</v>
      </c>
      <c r="B13" s="45">
        <v>-127216.96</v>
      </c>
      <c r="C13" s="45"/>
      <c r="D13" s="45"/>
      <c r="E13" s="46">
        <f t="shared" si="0"/>
        <v>-127216.96</v>
      </c>
      <c r="F13" s="1">
        <f t="shared" si="1"/>
        <v>-0.025793752080113343</v>
      </c>
    </row>
    <row r="14" spans="1:6" ht="12.75">
      <c r="A14" s="8" t="s">
        <v>521</v>
      </c>
      <c r="B14" s="45"/>
      <c r="C14" s="45"/>
      <c r="D14" s="45">
        <v>56381.83</v>
      </c>
      <c r="E14" s="46">
        <f>SUM(B14:D14)</f>
        <v>56381.83</v>
      </c>
      <c r="F14" s="1">
        <f t="shared" si="1"/>
        <v>0.011431643586225428</v>
      </c>
    </row>
    <row r="15" spans="1:6" ht="12.75">
      <c r="A15" s="8" t="s">
        <v>64</v>
      </c>
      <c r="B15" s="45">
        <v>3501530.71</v>
      </c>
      <c r="C15" s="45"/>
      <c r="D15" s="45">
        <v>3536835.94</v>
      </c>
      <c r="E15" s="46">
        <f t="shared" si="0"/>
        <v>7038366.65</v>
      </c>
      <c r="F15" s="1">
        <f t="shared" si="1"/>
        <v>1.4270572447182974</v>
      </c>
    </row>
    <row r="16" spans="1:6" ht="12.75">
      <c r="A16" s="8" t="s">
        <v>65</v>
      </c>
      <c r="B16" s="45">
        <v>2671493.02</v>
      </c>
      <c r="C16" s="45"/>
      <c r="D16" s="45">
        <v>2750651.66</v>
      </c>
      <c r="E16" s="46">
        <f t="shared" si="0"/>
        <v>5422144.68</v>
      </c>
      <c r="F16" s="1">
        <f t="shared" si="1"/>
        <v>1.0993617173246828</v>
      </c>
    </row>
    <row r="17" spans="1:6" ht="12.75">
      <c r="A17" s="8" t="s">
        <v>66</v>
      </c>
      <c r="B17" s="45">
        <v>5702379.15</v>
      </c>
      <c r="C17" s="45"/>
      <c r="D17" s="45">
        <v>5863506.28</v>
      </c>
      <c r="E17" s="46">
        <f t="shared" si="0"/>
        <v>11565885.43</v>
      </c>
      <c r="F17" s="1">
        <f t="shared" si="1"/>
        <v>2.3450299501608516</v>
      </c>
    </row>
    <row r="18" spans="1:6" ht="12.75">
      <c r="A18" s="8" t="s">
        <v>67</v>
      </c>
      <c r="B18" s="45">
        <v>7582616.2</v>
      </c>
      <c r="C18" s="45">
        <v>7866340.86</v>
      </c>
      <c r="D18" s="45">
        <v>7648549.06</v>
      </c>
      <c r="E18" s="46">
        <f t="shared" si="0"/>
        <v>23097506.12</v>
      </c>
      <c r="F18" s="1">
        <f t="shared" si="1"/>
        <v>4.683112585996243</v>
      </c>
    </row>
    <row r="19" spans="1:6" ht="12.75">
      <c r="A19" s="8" t="s">
        <v>68</v>
      </c>
      <c r="B19" s="45">
        <v>100000</v>
      </c>
      <c r="C19" s="45"/>
      <c r="D19" s="45">
        <v>100000</v>
      </c>
      <c r="E19" s="46">
        <f t="shared" si="0"/>
        <v>200000</v>
      </c>
      <c r="F19" s="1">
        <f t="shared" si="1"/>
        <v>0.0405508071881506</v>
      </c>
    </row>
    <row r="20" spans="1:6" ht="12.75">
      <c r="A20" s="8" t="s">
        <v>399</v>
      </c>
      <c r="B20" s="45">
        <v>39285</v>
      </c>
      <c r="C20" s="45">
        <v>16461</v>
      </c>
      <c r="D20" s="45"/>
      <c r="E20" s="46">
        <f t="shared" si="0"/>
        <v>55746</v>
      </c>
      <c r="F20" s="1">
        <f t="shared" si="1"/>
        <v>0.011302726487553217</v>
      </c>
    </row>
    <row r="21" spans="1:6" ht="12.75">
      <c r="A21" s="8" t="s">
        <v>245</v>
      </c>
      <c r="B21" s="45">
        <v>28000</v>
      </c>
      <c r="C21" s="45">
        <v>5000</v>
      </c>
      <c r="D21" s="45">
        <v>5526</v>
      </c>
      <c r="E21" s="46">
        <f t="shared" si="0"/>
        <v>38526</v>
      </c>
      <c r="F21" s="1">
        <f t="shared" si="1"/>
        <v>0.0078113019886534504</v>
      </c>
    </row>
    <row r="22" spans="1:6" ht="12.75">
      <c r="A22" s="8" t="s">
        <v>246</v>
      </c>
      <c r="B22" s="45">
        <v>2264012.8</v>
      </c>
      <c r="C22" s="45">
        <v>1426316.96</v>
      </c>
      <c r="D22" s="45">
        <v>1854035.17</v>
      </c>
      <c r="E22" s="46">
        <f t="shared" si="0"/>
        <v>5544364.93</v>
      </c>
      <c r="F22" s="1">
        <f t="shared" si="1"/>
        <v>1.1241423662858705</v>
      </c>
    </row>
    <row r="23" spans="1:6" ht="12.75">
      <c r="A23" s="8" t="s">
        <v>69</v>
      </c>
      <c r="B23" s="45">
        <v>42000</v>
      </c>
      <c r="C23" s="45">
        <v>41280</v>
      </c>
      <c r="D23" s="45">
        <v>108080</v>
      </c>
      <c r="E23" s="46">
        <f t="shared" si="0"/>
        <v>191360</v>
      </c>
      <c r="F23" s="1">
        <f t="shared" si="1"/>
        <v>0.0387990123176225</v>
      </c>
    </row>
    <row r="24" spans="1:6" ht="12.75">
      <c r="A24" s="8" t="s">
        <v>70</v>
      </c>
      <c r="B24" s="45">
        <v>746750</v>
      </c>
      <c r="C24" s="45">
        <v>26000</v>
      </c>
      <c r="D24" s="45">
        <v>21299.5</v>
      </c>
      <c r="E24" s="46">
        <f t="shared" si="0"/>
        <v>794049.5</v>
      </c>
      <c r="F24" s="1">
        <f t="shared" si="1"/>
        <v>0.16099674086173696</v>
      </c>
    </row>
    <row r="25" spans="1:6" ht="12.75">
      <c r="A25" s="8" t="s">
        <v>71</v>
      </c>
      <c r="B25" s="45">
        <v>533257.77</v>
      </c>
      <c r="C25" s="45">
        <v>53666.29</v>
      </c>
      <c r="D25" s="45">
        <v>122629.04</v>
      </c>
      <c r="E25" s="46">
        <f t="shared" si="0"/>
        <v>709553.1000000001</v>
      </c>
      <c r="F25" s="1">
        <f t="shared" si="1"/>
        <v>0.14386475473927274</v>
      </c>
    </row>
    <row r="26" spans="1:6" ht="12.75">
      <c r="A26" s="8" t="s">
        <v>72</v>
      </c>
      <c r="B26" s="45">
        <v>1045429.72</v>
      </c>
      <c r="C26" s="45">
        <v>46131</v>
      </c>
      <c r="D26" s="45">
        <v>45082</v>
      </c>
      <c r="E26" s="46">
        <f t="shared" si="0"/>
        <v>1136642.72</v>
      </c>
      <c r="F26" s="1">
        <f t="shared" si="1"/>
        <v>0.23045889890267526</v>
      </c>
    </row>
    <row r="27" spans="1:6" ht="12.75">
      <c r="A27" s="8" t="s">
        <v>73</v>
      </c>
      <c r="B27" s="45">
        <v>278139.14</v>
      </c>
      <c r="C27" s="45"/>
      <c r="D27" s="45"/>
      <c r="E27" s="46">
        <f t="shared" si="0"/>
        <v>278139.14</v>
      </c>
      <c r="F27" s="1">
        <f t="shared" si="1"/>
        <v>0.05639383318809014</v>
      </c>
    </row>
    <row r="28" spans="1:6" ht="12.75">
      <c r="A28" s="8" t="s">
        <v>74</v>
      </c>
      <c r="B28" s="45">
        <v>214290.73</v>
      </c>
      <c r="C28" s="45">
        <v>1150</v>
      </c>
      <c r="D28" s="45">
        <v>7310</v>
      </c>
      <c r="E28" s="46">
        <f t="shared" si="0"/>
        <v>222750.73</v>
      </c>
      <c r="F28" s="1">
        <f t="shared" si="1"/>
        <v>0.04516360951624897</v>
      </c>
    </row>
    <row r="29" spans="1:6" ht="12.75">
      <c r="A29" s="8" t="s">
        <v>511</v>
      </c>
      <c r="B29" s="45"/>
      <c r="C29" s="45">
        <v>80000</v>
      </c>
      <c r="D29" s="45"/>
      <c r="E29" s="46">
        <f t="shared" si="0"/>
        <v>80000</v>
      </c>
      <c r="F29" s="1">
        <f t="shared" si="1"/>
        <v>0.016220322875260238</v>
      </c>
    </row>
    <row r="30" spans="1:6" ht="12.75">
      <c r="A30" s="8" t="s">
        <v>75</v>
      </c>
      <c r="B30" s="45">
        <v>50451</v>
      </c>
      <c r="C30" s="45">
        <v>50451</v>
      </c>
      <c r="D30" s="45"/>
      <c r="E30" s="46">
        <f t="shared" si="0"/>
        <v>100902</v>
      </c>
      <c r="F30" s="1">
        <f t="shared" si="1"/>
        <v>0.02045828773449386</v>
      </c>
    </row>
    <row r="31" spans="1:6" ht="12.75">
      <c r="A31" s="8" t="s">
        <v>505</v>
      </c>
      <c r="B31" s="45">
        <v>51509.7</v>
      </c>
      <c r="C31" s="45">
        <v>51509.7</v>
      </c>
      <c r="D31" s="45"/>
      <c r="E31" s="46">
        <f t="shared" si="0"/>
        <v>103019.4</v>
      </c>
      <c r="F31" s="1">
        <f t="shared" si="1"/>
        <v>0.02088759913019481</v>
      </c>
    </row>
    <row r="32" spans="1:6" ht="12.75">
      <c r="A32" s="8" t="s">
        <v>76</v>
      </c>
      <c r="B32" s="45">
        <v>1218666.86</v>
      </c>
      <c r="C32" s="45">
        <v>196168.3</v>
      </c>
      <c r="D32" s="45">
        <v>113684.36</v>
      </c>
      <c r="E32" s="46">
        <f t="shared" si="0"/>
        <v>1528519.5200000003</v>
      </c>
      <c r="F32" s="1">
        <f t="shared" si="1"/>
        <v>0.3099135016942226</v>
      </c>
    </row>
    <row r="33" spans="1:6" ht="12.75">
      <c r="A33" s="8" t="s">
        <v>77</v>
      </c>
      <c r="B33" s="45">
        <v>1989637.16</v>
      </c>
      <c r="C33" s="45">
        <v>121160</v>
      </c>
      <c r="D33" s="45">
        <v>152055.13</v>
      </c>
      <c r="E33" s="46">
        <f t="shared" si="0"/>
        <v>2262852.29</v>
      </c>
      <c r="F33" s="1">
        <f t="shared" si="1"/>
        <v>0.4588024345352753</v>
      </c>
    </row>
    <row r="34" spans="1:6" ht="12.75">
      <c r="A34" s="8" t="s">
        <v>426</v>
      </c>
      <c r="B34" s="45">
        <v>11179.07</v>
      </c>
      <c r="C34" s="45">
        <v>13055</v>
      </c>
      <c r="D34" s="45"/>
      <c r="E34" s="46">
        <f t="shared" si="0"/>
        <v>24234.07</v>
      </c>
      <c r="F34" s="1">
        <f t="shared" si="1"/>
        <v>0.004913555499770725</v>
      </c>
    </row>
    <row r="35" spans="1:6" ht="12.75">
      <c r="A35" s="8" t="s">
        <v>506</v>
      </c>
      <c r="B35" s="45">
        <v>43992.17</v>
      </c>
      <c r="C35" s="45">
        <v>4600</v>
      </c>
      <c r="D35" s="45"/>
      <c r="E35" s="46">
        <f t="shared" si="0"/>
        <v>48592.17</v>
      </c>
      <c r="F35" s="1">
        <f t="shared" si="1"/>
        <v>0.00985225858261918</v>
      </c>
    </row>
    <row r="36" spans="1:6" ht="12.75">
      <c r="A36" s="8" t="s">
        <v>522</v>
      </c>
      <c r="B36" s="45"/>
      <c r="C36" s="45"/>
      <c r="D36" s="45">
        <v>16861</v>
      </c>
      <c r="E36" s="46">
        <f>SUM(B36:D36)</f>
        <v>16861</v>
      </c>
      <c r="F36" s="1">
        <f t="shared" si="1"/>
        <v>0.0034186357999970367</v>
      </c>
    </row>
    <row r="37" spans="1:6" ht="12.75">
      <c r="A37" s="8" t="s">
        <v>190</v>
      </c>
      <c r="B37" s="45">
        <v>110250</v>
      </c>
      <c r="C37" s="45"/>
      <c r="D37" s="45">
        <v>15299.5</v>
      </c>
      <c r="E37" s="46">
        <f t="shared" si="0"/>
        <v>125549.5</v>
      </c>
      <c r="F37" s="1">
        <f t="shared" si="1"/>
        <v>0.025455667835343573</v>
      </c>
    </row>
    <row r="38" spans="1:6" ht="12.75">
      <c r="A38" s="8"/>
      <c r="B38" s="45"/>
      <c r="C38" s="45"/>
      <c r="D38" s="45"/>
      <c r="E38" s="46"/>
      <c r="F38" s="1"/>
    </row>
    <row r="39" spans="1:7" ht="12.75">
      <c r="A39" s="27" t="s">
        <v>323</v>
      </c>
      <c r="B39" s="128">
        <f>SUM(B11:B37)</f>
        <v>28469349.84</v>
      </c>
      <c r="C39" s="128">
        <f>SUM(C11:C37)</f>
        <v>11291633.120000001</v>
      </c>
      <c r="D39" s="128">
        <f>SUM(D11:D37)</f>
        <v>23693812.649999995</v>
      </c>
      <c r="E39" s="128">
        <f>SUM(E11:E37)</f>
        <v>63454795.61000001</v>
      </c>
      <c r="F39" s="129">
        <f>SUM(F11:F37)</f>
        <v>12.865715909723075</v>
      </c>
      <c r="G39" s="26"/>
    </row>
    <row r="40" spans="5:6" ht="12.75">
      <c r="E40" s="275"/>
      <c r="F40" s="275"/>
    </row>
    <row r="41" spans="1:6" ht="12.75" customHeight="1">
      <c r="A41" s="3" t="s">
        <v>390</v>
      </c>
      <c r="B41" s="130" t="s">
        <v>389</v>
      </c>
      <c r="C41" s="130"/>
      <c r="D41" s="130"/>
      <c r="E41" s="46"/>
      <c r="F41" s="1"/>
    </row>
    <row r="42" spans="1:7" ht="12.75">
      <c r="A42" s="8" t="s">
        <v>461</v>
      </c>
      <c r="B42" s="45">
        <v>-10000</v>
      </c>
      <c r="C42" s="45">
        <v>30000</v>
      </c>
      <c r="D42" s="45">
        <v>4000</v>
      </c>
      <c r="E42" s="46">
        <f aca="true" t="shared" si="2" ref="E42:E52">SUM(B42:D42)</f>
        <v>24000</v>
      </c>
      <c r="F42" s="131">
        <f aca="true" t="shared" si="3" ref="F42:F52">(E42/$E$145)*100</f>
        <v>0.004866096862578073</v>
      </c>
      <c r="G42" s="12" t="s">
        <v>25</v>
      </c>
    </row>
    <row r="43" spans="1:7" ht="12.75">
      <c r="A43" s="8" t="s">
        <v>311</v>
      </c>
      <c r="B43" s="45">
        <v>245200</v>
      </c>
      <c r="C43" s="45">
        <v>215000</v>
      </c>
      <c r="D43" s="45">
        <v>5000</v>
      </c>
      <c r="E43" s="46">
        <f t="shared" si="2"/>
        <v>465200</v>
      </c>
      <c r="F43" s="131">
        <f t="shared" si="3"/>
        <v>0.0943211775196383</v>
      </c>
      <c r="G43" s="12" t="s">
        <v>25</v>
      </c>
    </row>
    <row r="44" spans="1:7" ht="12.75">
      <c r="A44" s="8" t="s">
        <v>310</v>
      </c>
      <c r="B44" s="45">
        <v>969000</v>
      </c>
      <c r="C44" s="45">
        <v>790000</v>
      </c>
      <c r="D44" s="45">
        <v>281000</v>
      </c>
      <c r="E44" s="46">
        <f t="shared" si="2"/>
        <v>2040000</v>
      </c>
      <c r="F44" s="131">
        <f t="shared" si="3"/>
        <v>0.4136182333191361</v>
      </c>
      <c r="G44" s="12" t="s">
        <v>25</v>
      </c>
    </row>
    <row r="45" spans="1:7" ht="12.75">
      <c r="A45" s="8" t="s">
        <v>306</v>
      </c>
      <c r="B45" s="45">
        <v>20904</v>
      </c>
      <c r="C45" s="45">
        <v>16627.02</v>
      </c>
      <c r="D45" s="45">
        <v>3000</v>
      </c>
      <c r="E45" s="46">
        <f t="shared" si="2"/>
        <v>40531.020000000004</v>
      </c>
      <c r="F45" s="131">
        <f t="shared" si="3"/>
        <v>0.00821782788579538</v>
      </c>
      <c r="G45" s="12" t="s">
        <v>25</v>
      </c>
    </row>
    <row r="46" spans="1:7" ht="12.75">
      <c r="A46" s="8" t="s">
        <v>352</v>
      </c>
      <c r="B46" s="45">
        <v>187374.78</v>
      </c>
      <c r="C46" s="45">
        <v>238500</v>
      </c>
      <c r="D46" s="45">
        <v>71000</v>
      </c>
      <c r="E46" s="46">
        <f t="shared" si="2"/>
        <v>496874.78</v>
      </c>
      <c r="F46" s="131">
        <f t="shared" si="3"/>
        <v>0.10074336700217376</v>
      </c>
      <c r="G46" s="12" t="s">
        <v>25</v>
      </c>
    </row>
    <row r="47" spans="1:7" ht="12.75">
      <c r="A47" s="8" t="s">
        <v>429</v>
      </c>
      <c r="B47" s="45">
        <v>82260.82</v>
      </c>
      <c r="C47" s="45">
        <v>110000</v>
      </c>
      <c r="D47" s="45"/>
      <c r="E47" s="46">
        <f t="shared" si="2"/>
        <v>192260.82</v>
      </c>
      <c r="F47" s="131">
        <f t="shared" si="3"/>
        <v>0.03898165720827865</v>
      </c>
      <c r="G47" s="12" t="s">
        <v>25</v>
      </c>
    </row>
    <row r="48" spans="1:7" ht="12.75">
      <c r="A48" s="8" t="s">
        <v>503</v>
      </c>
      <c r="B48" s="45">
        <v>31800</v>
      </c>
      <c r="C48" s="45">
        <v>10000</v>
      </c>
      <c r="D48" s="45">
        <v>38167.66</v>
      </c>
      <c r="E48" s="46">
        <f t="shared" si="2"/>
        <v>79967.66</v>
      </c>
      <c r="F48" s="131">
        <f t="shared" si="3"/>
        <v>0.016213765809737917</v>
      </c>
      <c r="G48" s="12" t="s">
        <v>25</v>
      </c>
    </row>
    <row r="49" spans="1:7" ht="12.75">
      <c r="A49" s="8" t="s">
        <v>512</v>
      </c>
      <c r="B49" s="45"/>
      <c r="C49" s="45">
        <v>4815.95</v>
      </c>
      <c r="D49" s="45"/>
      <c r="E49" s="46">
        <f t="shared" si="2"/>
        <v>4815.95</v>
      </c>
      <c r="F49" s="131">
        <f t="shared" si="3"/>
        <v>0.0009764532993888694</v>
      </c>
      <c r="G49" s="12" t="s">
        <v>25</v>
      </c>
    </row>
    <row r="50" spans="1:7" ht="12.75">
      <c r="A50" s="8" t="s">
        <v>504</v>
      </c>
      <c r="B50" s="45">
        <v>4750000</v>
      </c>
      <c r="C50" s="45"/>
      <c r="D50" s="45"/>
      <c r="E50" s="46">
        <f t="shared" si="2"/>
        <v>4750000</v>
      </c>
      <c r="F50" s="131">
        <f t="shared" si="3"/>
        <v>0.9630816707185769</v>
      </c>
      <c r="G50" s="12" t="s">
        <v>25</v>
      </c>
    </row>
    <row r="51" spans="1:7" s="10" customFormat="1" ht="12.75">
      <c r="A51" s="8" t="s">
        <v>356</v>
      </c>
      <c r="B51" s="45">
        <v>635273.42</v>
      </c>
      <c r="C51" s="45"/>
      <c r="D51" s="45">
        <v>1000000</v>
      </c>
      <c r="E51" s="46">
        <f t="shared" si="2"/>
        <v>1635273.42</v>
      </c>
      <c r="F51" s="131">
        <f t="shared" si="3"/>
        <v>0.33155828577163804</v>
      </c>
      <c r="G51" s="12" t="s">
        <v>25</v>
      </c>
    </row>
    <row r="52" spans="1:7" ht="12.75">
      <c r="A52" s="8" t="s">
        <v>307</v>
      </c>
      <c r="B52" s="45">
        <v>776329</v>
      </c>
      <c r="C52" s="45">
        <v>45900</v>
      </c>
      <c r="D52" s="45">
        <v>200000</v>
      </c>
      <c r="E52" s="46">
        <f t="shared" si="2"/>
        <v>1022229</v>
      </c>
      <c r="F52" s="131">
        <f t="shared" si="3"/>
        <v>0.20726105540568</v>
      </c>
      <c r="G52" s="12" t="s">
        <v>25</v>
      </c>
    </row>
    <row r="53" spans="1:6" ht="12.75">
      <c r="A53" s="8"/>
      <c r="B53" s="45"/>
      <c r="C53" s="45"/>
      <c r="D53" s="45"/>
      <c r="E53" s="46"/>
      <c r="F53" s="131"/>
    </row>
    <row r="54" spans="1:6" ht="12.75">
      <c r="A54" s="132" t="s">
        <v>398</v>
      </c>
      <c r="B54" s="133">
        <f>SUM(B42:B52)</f>
        <v>7688142.02</v>
      </c>
      <c r="C54" s="133">
        <f>SUM(C42:C52)</f>
        <v>1460842.97</v>
      </c>
      <c r="D54" s="133">
        <f>SUM(D42:D52)</f>
        <v>1602167.6600000001</v>
      </c>
      <c r="E54" s="133">
        <f>SUM(E42:E52)</f>
        <v>10751152.65</v>
      </c>
      <c r="F54" s="133">
        <f>SUM(F42:F52)</f>
        <v>2.179839590802622</v>
      </c>
    </row>
    <row r="55" spans="5:6" ht="13.5" thickBot="1">
      <c r="E55" s="275" t="s">
        <v>10</v>
      </c>
      <c r="F55" s="275"/>
    </row>
    <row r="56" spans="1:6" ht="15">
      <c r="A56" s="261" t="s">
        <v>19</v>
      </c>
      <c r="B56" s="262"/>
      <c r="C56" s="262"/>
      <c r="D56" s="262"/>
      <c r="E56" s="262"/>
      <c r="F56" s="263"/>
    </row>
    <row r="57" spans="1:6" ht="15">
      <c r="A57" s="264" t="s">
        <v>20</v>
      </c>
      <c r="B57" s="265"/>
      <c r="C57" s="265"/>
      <c r="D57" s="265"/>
      <c r="E57" s="265"/>
      <c r="F57" s="266"/>
    </row>
    <row r="58" spans="1:6" ht="15">
      <c r="A58" s="267" t="s">
        <v>326</v>
      </c>
      <c r="B58" s="268"/>
      <c r="C58" s="268"/>
      <c r="D58" s="268"/>
      <c r="E58" s="268"/>
      <c r="F58" s="269"/>
    </row>
    <row r="59" spans="1:6" ht="15.75" thickBot="1">
      <c r="A59" s="270" t="s">
        <v>500</v>
      </c>
      <c r="B59" s="271"/>
      <c r="C59" s="271"/>
      <c r="D59" s="271"/>
      <c r="E59" s="271"/>
      <c r="F59" s="272"/>
    </row>
    <row r="60" spans="2:5" ht="13.5" thickBot="1">
      <c r="B60" s="2"/>
      <c r="C60" s="2"/>
      <c r="D60" s="2"/>
      <c r="E60" s="2"/>
    </row>
    <row r="61" spans="1:6" ht="12.75">
      <c r="A61" s="94"/>
      <c r="B61" s="94"/>
      <c r="C61" s="94"/>
      <c r="D61" s="94"/>
      <c r="E61" s="94"/>
      <c r="F61" s="95"/>
    </row>
    <row r="62" spans="1:6" ht="12.75">
      <c r="A62" s="96" t="s">
        <v>21</v>
      </c>
      <c r="B62" s="97" t="s">
        <v>478</v>
      </c>
      <c r="C62" s="97" t="s">
        <v>479</v>
      </c>
      <c r="D62" s="97" t="s">
        <v>499</v>
      </c>
      <c r="E62" s="96" t="s">
        <v>22</v>
      </c>
      <c r="F62" s="98" t="s">
        <v>23</v>
      </c>
    </row>
    <row r="63" spans="1:6" ht="13.5" thickBot="1">
      <c r="A63" s="99"/>
      <c r="B63" s="99"/>
      <c r="C63" s="99"/>
      <c r="D63" s="99"/>
      <c r="E63" s="99"/>
      <c r="F63" s="100"/>
    </row>
    <row r="64" spans="2:6" ht="6.75" customHeight="1">
      <c r="B64" s="45"/>
      <c r="C64" s="45"/>
      <c r="E64" s="45"/>
      <c r="F64" s="127"/>
    </row>
    <row r="65" spans="1:6" ht="12.75">
      <c r="A65" s="3" t="s">
        <v>393</v>
      </c>
      <c r="B65" s="45"/>
      <c r="C65" s="45"/>
      <c r="D65" s="45"/>
      <c r="E65" s="46"/>
      <c r="F65" s="131"/>
    </row>
    <row r="66" spans="1:7" ht="12.75">
      <c r="A66" s="27" t="s">
        <v>312</v>
      </c>
      <c r="B66" s="45"/>
      <c r="C66" s="45"/>
      <c r="D66" s="45"/>
      <c r="E66" s="46"/>
      <c r="F66" s="131"/>
      <c r="G66" s="12" t="s">
        <v>25</v>
      </c>
    </row>
    <row r="67" spans="1:6" ht="12.75">
      <c r="A67" s="8" t="s">
        <v>308</v>
      </c>
      <c r="B67" s="45">
        <v>-5835</v>
      </c>
      <c r="C67" s="45">
        <v>321684.4</v>
      </c>
      <c r="D67" s="45">
        <v>33009.13</v>
      </c>
      <c r="E67" s="46">
        <f>SUM(B67:D67)</f>
        <v>348858.53</v>
      </c>
      <c r="F67" s="131">
        <f>(E67/$E$145)*100</f>
        <v>0.07073247492985826</v>
      </c>
    </row>
    <row r="68" spans="1:6" ht="12.75">
      <c r="A68" s="8" t="s">
        <v>412</v>
      </c>
      <c r="B68" s="45">
        <v>3172</v>
      </c>
      <c r="C68" s="45"/>
      <c r="D68" s="45">
        <v>11442.5</v>
      </c>
      <c r="E68" s="46">
        <f>SUM(B68:D68)</f>
        <v>14614.5</v>
      </c>
      <c r="F68" s="131">
        <f>(E68/$E$145)*100</f>
        <v>0.002963148858256135</v>
      </c>
    </row>
    <row r="69" spans="1:7" ht="12.75">
      <c r="A69" s="27" t="s">
        <v>401</v>
      </c>
      <c r="B69" s="45"/>
      <c r="C69" s="45"/>
      <c r="D69" s="45"/>
      <c r="E69" s="46"/>
      <c r="F69" s="131"/>
      <c r="G69" s="12" t="s">
        <v>25</v>
      </c>
    </row>
    <row r="70" spans="1:6" ht="12.75">
      <c r="A70" s="8" t="s">
        <v>400</v>
      </c>
      <c r="B70" s="45">
        <v>34143.33</v>
      </c>
      <c r="C70" s="45">
        <v>11381.11</v>
      </c>
      <c r="D70" s="45"/>
      <c r="E70" s="46">
        <f>SUM(B70:D70)</f>
        <v>45524.44</v>
      </c>
      <c r="F70" s="131">
        <f>(E70/$E$145)*100</f>
        <v>0.009230263943942656</v>
      </c>
    </row>
    <row r="71" spans="1:7" ht="12.75">
      <c r="A71" s="27" t="s">
        <v>358</v>
      </c>
      <c r="B71" s="45"/>
      <c r="C71" s="45"/>
      <c r="D71" s="45"/>
      <c r="E71" s="46"/>
      <c r="F71" s="131"/>
      <c r="G71" s="12" t="s">
        <v>25</v>
      </c>
    </row>
    <row r="72" spans="1:6" ht="12.75">
      <c r="A72" s="8" t="s">
        <v>462</v>
      </c>
      <c r="B72" s="45"/>
      <c r="C72" s="45">
        <v>173360.12</v>
      </c>
      <c r="D72" s="45">
        <v>41760.77</v>
      </c>
      <c r="E72" s="46">
        <f aca="true" t="shared" si="4" ref="E72:E87">SUM(B72:D72)</f>
        <v>215120.88999999998</v>
      </c>
      <c r="F72" s="131">
        <f aca="true" t="shared" si="5" ref="F72:F87">(E72/$E$145)*100</f>
        <v>0.04361662866266677</v>
      </c>
    </row>
    <row r="73" spans="1:7" ht="12.75">
      <c r="A73" s="8" t="s">
        <v>443</v>
      </c>
      <c r="B73" s="45"/>
      <c r="C73" s="45">
        <v>288835.5</v>
      </c>
      <c r="D73" s="45">
        <v>263501.8</v>
      </c>
      <c r="E73" s="46">
        <f t="shared" si="4"/>
        <v>552337.3</v>
      </c>
      <c r="F73" s="131">
        <f t="shared" si="5"/>
        <v>0.11198861677561849</v>
      </c>
      <c r="G73" s="12"/>
    </row>
    <row r="74" spans="1:7" ht="12.75">
      <c r="A74" s="8" t="s">
        <v>534</v>
      </c>
      <c r="B74" s="45"/>
      <c r="C74" s="45">
        <v>238816.91</v>
      </c>
      <c r="D74" s="45"/>
      <c r="E74" s="46">
        <f t="shared" si="4"/>
        <v>238816.91</v>
      </c>
      <c r="F74" s="131">
        <f t="shared" si="5"/>
        <v>0.04842109235339958</v>
      </c>
      <c r="G74" s="12"/>
    </row>
    <row r="75" spans="1:7" ht="12.75">
      <c r="A75" s="8" t="s">
        <v>444</v>
      </c>
      <c r="B75" s="45"/>
      <c r="C75" s="45">
        <v>83086.61</v>
      </c>
      <c r="D75" s="45"/>
      <c r="E75" s="46">
        <f t="shared" si="4"/>
        <v>83086.61</v>
      </c>
      <c r="F75" s="131">
        <f t="shared" si="5"/>
        <v>0.01684614551013533</v>
      </c>
      <c r="G75" s="12"/>
    </row>
    <row r="76" spans="1:7" ht="12.75">
      <c r="A76" s="8" t="s">
        <v>533</v>
      </c>
      <c r="B76" s="45"/>
      <c r="C76" s="45">
        <v>6800.01</v>
      </c>
      <c r="D76" s="45"/>
      <c r="E76" s="46">
        <f t="shared" si="4"/>
        <v>6800.01</v>
      </c>
      <c r="F76" s="131">
        <f t="shared" si="5"/>
        <v>0.00137872947193748</v>
      </c>
      <c r="G76" s="12"/>
    </row>
    <row r="77" spans="1:6" ht="12.75">
      <c r="A77" s="8" t="s">
        <v>357</v>
      </c>
      <c r="B77" s="45"/>
      <c r="C77" s="45"/>
      <c r="D77" s="45">
        <v>3682337.59</v>
      </c>
      <c r="E77" s="46">
        <f t="shared" si="4"/>
        <v>3682337.59</v>
      </c>
      <c r="F77" s="131">
        <f t="shared" si="5"/>
        <v>0.7466088080688458</v>
      </c>
    </row>
    <row r="78" spans="1:6" ht="12.75">
      <c r="A78" s="8" t="s">
        <v>449</v>
      </c>
      <c r="B78" s="45"/>
      <c r="C78" s="45">
        <v>38838.97</v>
      </c>
      <c r="D78" s="45"/>
      <c r="E78" s="46">
        <f t="shared" si="4"/>
        <v>38838.97</v>
      </c>
      <c r="F78" s="131">
        <f t="shared" si="5"/>
        <v>0.007874757919281829</v>
      </c>
    </row>
    <row r="79" spans="1:6" ht="12.75">
      <c r="A79" s="8" t="s">
        <v>450</v>
      </c>
      <c r="B79" s="45"/>
      <c r="C79" s="45">
        <v>184857.52</v>
      </c>
      <c r="D79" s="45"/>
      <c r="E79" s="46">
        <f t="shared" si="4"/>
        <v>184857.52</v>
      </c>
      <c r="F79" s="131">
        <f t="shared" si="5"/>
        <v>0.03748060825399847</v>
      </c>
    </row>
    <row r="80" spans="1:6" ht="12.75">
      <c r="A80" s="8" t="s">
        <v>445</v>
      </c>
      <c r="B80" s="45"/>
      <c r="C80" s="45">
        <v>407376.37</v>
      </c>
      <c r="D80" s="45"/>
      <c r="E80" s="46">
        <f t="shared" si="4"/>
        <v>407376.37</v>
      </c>
      <c r="F80" s="131">
        <f t="shared" si="5"/>
        <v>0.08259720316439349</v>
      </c>
    </row>
    <row r="81" spans="1:6" ht="12.75">
      <c r="A81" s="8" t="s">
        <v>446</v>
      </c>
      <c r="B81" s="45"/>
      <c r="C81" s="45">
        <v>51605.1</v>
      </c>
      <c r="D81" s="45"/>
      <c r="E81" s="46">
        <f t="shared" si="4"/>
        <v>51605.1</v>
      </c>
      <c r="F81" s="131">
        <f t="shared" si="5"/>
        <v>0.010463142300126153</v>
      </c>
    </row>
    <row r="82" spans="1:6" ht="12.75">
      <c r="A82" s="8" t="s">
        <v>451</v>
      </c>
      <c r="B82" s="45"/>
      <c r="C82" s="45">
        <v>8946.24</v>
      </c>
      <c r="D82" s="45"/>
      <c r="E82" s="46">
        <f t="shared" si="4"/>
        <v>8946.24</v>
      </c>
      <c r="F82" s="131">
        <f t="shared" si="5"/>
        <v>0.0018138862664946022</v>
      </c>
    </row>
    <row r="83" spans="1:6" ht="12.75">
      <c r="A83" s="8" t="s">
        <v>513</v>
      </c>
      <c r="B83" s="45"/>
      <c r="C83" s="45">
        <v>392.84</v>
      </c>
      <c r="D83" s="45"/>
      <c r="E83" s="46">
        <f t="shared" si="4"/>
        <v>392.84</v>
      </c>
      <c r="F83" s="131">
        <f t="shared" si="5"/>
        <v>7.964989547896542E-05</v>
      </c>
    </row>
    <row r="84" spans="1:6" ht="12.75">
      <c r="A84" s="8" t="s">
        <v>514</v>
      </c>
      <c r="B84" s="45"/>
      <c r="C84" s="45">
        <v>71096.11</v>
      </c>
      <c r="D84" s="45"/>
      <c r="E84" s="46">
        <f t="shared" si="4"/>
        <v>71096.11</v>
      </c>
      <c r="F84" s="131">
        <f t="shared" si="5"/>
        <v>0.014415023242187729</v>
      </c>
    </row>
    <row r="85" spans="1:6" ht="12.75">
      <c r="A85" s="8" t="s">
        <v>452</v>
      </c>
      <c r="B85" s="45">
        <v>8390.96</v>
      </c>
      <c r="C85" s="45"/>
      <c r="D85" s="45"/>
      <c r="E85" s="46">
        <f t="shared" si="4"/>
        <v>8390.96</v>
      </c>
      <c r="F85" s="131">
        <f t="shared" si="5"/>
        <v>0.0017013010054174208</v>
      </c>
    </row>
    <row r="86" spans="1:6" ht="12.75">
      <c r="A86" s="8" t="s">
        <v>463</v>
      </c>
      <c r="B86" s="45"/>
      <c r="C86" s="45">
        <v>4594.76</v>
      </c>
      <c r="D86" s="45"/>
      <c r="E86" s="46">
        <f t="shared" si="4"/>
        <v>4594.76</v>
      </c>
      <c r="F86" s="131">
        <f t="shared" si="5"/>
        <v>0.0009316061341791344</v>
      </c>
    </row>
    <row r="87" spans="1:6" ht="12.75">
      <c r="A87" s="8" t="s">
        <v>464</v>
      </c>
      <c r="B87" s="45"/>
      <c r="C87" s="45"/>
      <c r="D87" s="45">
        <v>-13500</v>
      </c>
      <c r="E87" s="46">
        <f t="shared" si="4"/>
        <v>-13500</v>
      </c>
      <c r="F87" s="131">
        <f t="shared" si="5"/>
        <v>-0.002737179485200166</v>
      </c>
    </row>
    <row r="88" spans="1:6" ht="12.75">
      <c r="A88" s="8"/>
      <c r="B88" s="45"/>
      <c r="C88" s="45"/>
      <c r="D88" s="45"/>
      <c r="E88" s="46"/>
      <c r="F88" s="131"/>
    </row>
    <row r="89" spans="1:6" ht="12.75">
      <c r="A89" s="132" t="s">
        <v>392</v>
      </c>
      <c r="B89" s="133">
        <f>SUM(B67:B88)</f>
        <v>39871.29</v>
      </c>
      <c r="C89" s="133">
        <f>SUM(C67:C88)</f>
        <v>1891672.5700000003</v>
      </c>
      <c r="D89" s="133">
        <f>SUM(D67:D88)</f>
        <v>4018551.79</v>
      </c>
      <c r="E89" s="133">
        <f>SUM(E67:E88)</f>
        <v>5950095.649999999</v>
      </c>
      <c r="F89" s="134">
        <f>SUM(F67:F88)</f>
        <v>1.2064059072710183</v>
      </c>
    </row>
    <row r="90" spans="1:6" ht="12.75">
      <c r="A90" s="60"/>
      <c r="B90" s="62"/>
      <c r="C90" s="62"/>
      <c r="D90" s="62"/>
      <c r="E90" s="62"/>
      <c r="F90" s="61"/>
    </row>
    <row r="91" spans="1:6" ht="12.75">
      <c r="A91" s="135" t="s">
        <v>395</v>
      </c>
      <c r="B91" s="128">
        <f>B54+B89</f>
        <v>7728013.31</v>
      </c>
      <c r="C91" s="128">
        <f>C54+C89</f>
        <v>3352515.54</v>
      </c>
      <c r="D91" s="128">
        <f>D54+D89</f>
        <v>5620719.45</v>
      </c>
      <c r="E91" s="128">
        <f>E54+E89</f>
        <v>16701248.3</v>
      </c>
      <c r="F91" s="128">
        <f>F54+F89</f>
        <v>3.38624549807364</v>
      </c>
    </row>
    <row r="92" spans="1:6" ht="12.75">
      <c r="A92" s="135"/>
      <c r="B92" s="51"/>
      <c r="C92" s="51"/>
      <c r="D92" s="51"/>
      <c r="E92" s="51"/>
      <c r="F92" s="51"/>
    </row>
    <row r="93" spans="1:6" ht="12.75">
      <c r="A93" s="135"/>
      <c r="B93" s="51"/>
      <c r="C93" s="51"/>
      <c r="D93" s="51"/>
      <c r="E93" s="51"/>
      <c r="F93" s="51"/>
    </row>
    <row r="94" spans="1:6" ht="12.75">
      <c r="A94" s="135"/>
      <c r="B94" s="51"/>
      <c r="C94" s="51"/>
      <c r="D94" s="51"/>
      <c r="E94" s="51"/>
      <c r="F94" s="51"/>
    </row>
    <row r="95" spans="1:6" ht="12.75">
      <c r="A95" s="135"/>
      <c r="B95" s="51"/>
      <c r="C95" s="51"/>
      <c r="D95" s="51"/>
      <c r="E95" s="51"/>
      <c r="F95" s="51"/>
    </row>
    <row r="96" spans="1:6" ht="12.75">
      <c r="A96" s="135"/>
      <c r="B96" s="51"/>
      <c r="C96" s="51"/>
      <c r="D96" s="51"/>
      <c r="E96" s="51"/>
      <c r="F96" s="51"/>
    </row>
    <row r="97" spans="1:6" ht="12.75">
      <c r="A97" s="135"/>
      <c r="B97" s="51"/>
      <c r="C97" s="51"/>
      <c r="D97" s="51"/>
      <c r="E97" s="51"/>
      <c r="F97" s="51"/>
    </row>
    <row r="98" spans="1:6" ht="12.75">
      <c r="A98" s="135"/>
      <c r="B98" s="51"/>
      <c r="C98" s="51"/>
      <c r="D98" s="51"/>
      <c r="E98" s="51"/>
      <c r="F98" s="51"/>
    </row>
    <row r="99" spans="1:6" ht="12.75">
      <c r="A99" s="135"/>
      <c r="B99" s="51"/>
      <c r="C99" s="51"/>
      <c r="D99" s="51"/>
      <c r="E99" s="51"/>
      <c r="F99" s="51"/>
    </row>
    <row r="100" spans="1:6" ht="12.75">
      <c r="A100" s="135"/>
      <c r="B100" s="51"/>
      <c r="C100" s="51"/>
      <c r="D100" s="51"/>
      <c r="E100" s="51"/>
      <c r="F100" s="51"/>
    </row>
    <row r="101" spans="1:6" ht="12.75">
      <c r="A101" s="135"/>
      <c r="B101" s="51"/>
      <c r="C101" s="51"/>
      <c r="D101" s="51"/>
      <c r="E101" s="51"/>
      <c r="F101" s="51"/>
    </row>
    <row r="102" spans="1:6" ht="12.75">
      <c r="A102" s="135"/>
      <c r="B102" s="51"/>
      <c r="C102" s="51"/>
      <c r="D102" s="51"/>
      <c r="E102" s="51"/>
      <c r="F102" s="51"/>
    </row>
    <row r="103" spans="1:6" ht="12.75">
      <c r="A103" s="135"/>
      <c r="B103" s="51"/>
      <c r="C103" s="51"/>
      <c r="D103" s="51"/>
      <c r="E103" s="51"/>
      <c r="F103" s="51"/>
    </row>
    <row r="104" spans="1:6" ht="12.75">
      <c r="A104" s="135"/>
      <c r="B104" s="51"/>
      <c r="C104" s="51"/>
      <c r="D104" s="51"/>
      <c r="E104" s="51"/>
      <c r="F104" s="51"/>
    </row>
    <row r="105" spans="1:6" ht="12.75">
      <c r="A105" s="60"/>
      <c r="B105" s="62"/>
      <c r="C105" s="62"/>
      <c r="D105" s="62"/>
      <c r="E105" s="62"/>
      <c r="F105" s="61"/>
    </row>
    <row r="106" spans="1:6" ht="12.75">
      <c r="A106" s="60"/>
      <c r="B106" s="62"/>
      <c r="C106" s="62"/>
      <c r="D106" s="62"/>
      <c r="E106" s="62"/>
      <c r="F106" s="61"/>
    </row>
    <row r="107" spans="1:6" ht="12.75">
      <c r="A107" s="60"/>
      <c r="B107" s="62"/>
      <c r="C107" s="62"/>
      <c r="D107" s="62"/>
      <c r="E107" s="62"/>
      <c r="F107" s="61"/>
    </row>
    <row r="108" spans="1:6" ht="12.75">
      <c r="A108" s="60"/>
      <c r="B108" s="62"/>
      <c r="C108" s="62"/>
      <c r="D108" s="62"/>
      <c r="E108" s="62"/>
      <c r="F108" s="61"/>
    </row>
    <row r="109" spans="5:6" ht="13.5" thickBot="1">
      <c r="E109" s="275" t="s">
        <v>10</v>
      </c>
      <c r="F109" s="275"/>
    </row>
    <row r="110" spans="1:6" ht="15">
      <c r="A110" s="261" t="s">
        <v>19</v>
      </c>
      <c r="B110" s="262"/>
      <c r="C110" s="262"/>
      <c r="D110" s="262"/>
      <c r="E110" s="262"/>
      <c r="F110" s="263"/>
    </row>
    <row r="111" spans="1:6" ht="15">
      <c r="A111" s="264" t="s">
        <v>20</v>
      </c>
      <c r="B111" s="265"/>
      <c r="C111" s="265"/>
      <c r="D111" s="265"/>
      <c r="E111" s="265"/>
      <c r="F111" s="266"/>
    </row>
    <row r="112" spans="1:6" ht="15">
      <c r="A112" s="267" t="s">
        <v>326</v>
      </c>
      <c r="B112" s="268"/>
      <c r="C112" s="268"/>
      <c r="D112" s="268"/>
      <c r="E112" s="268"/>
      <c r="F112" s="269"/>
    </row>
    <row r="113" spans="1:6" ht="15.75" thickBot="1">
      <c r="A113" s="270" t="s">
        <v>500</v>
      </c>
      <c r="B113" s="271"/>
      <c r="C113" s="271"/>
      <c r="D113" s="271"/>
      <c r="E113" s="271"/>
      <c r="F113" s="272"/>
    </row>
    <row r="114" spans="2:5" ht="8.25" customHeight="1" thickBot="1">
      <c r="B114" s="2"/>
      <c r="C114" s="2"/>
      <c r="D114" s="2"/>
      <c r="E114" s="2"/>
    </row>
    <row r="115" spans="1:6" ht="12.75">
      <c r="A115" s="94"/>
      <c r="B115" s="94"/>
      <c r="C115" s="94"/>
      <c r="D115" s="94"/>
      <c r="E115" s="94"/>
      <c r="F115" s="95"/>
    </row>
    <row r="116" spans="1:6" ht="12.75">
      <c r="A116" s="96" t="s">
        <v>21</v>
      </c>
      <c r="B116" s="97" t="s">
        <v>478</v>
      </c>
      <c r="C116" s="97" t="s">
        <v>479</v>
      </c>
      <c r="D116" s="97" t="s">
        <v>499</v>
      </c>
      <c r="E116" s="96" t="s">
        <v>22</v>
      </c>
      <c r="F116" s="98" t="s">
        <v>23</v>
      </c>
    </row>
    <row r="117" spans="1:6" ht="13.5" thickBot="1">
      <c r="A117" s="99"/>
      <c r="B117" s="99"/>
      <c r="C117" s="99"/>
      <c r="D117" s="99"/>
      <c r="E117" s="99"/>
      <c r="F117" s="100"/>
    </row>
    <row r="118" spans="1:6" ht="8.25" customHeight="1">
      <c r="A118" s="8"/>
      <c r="B118" s="130"/>
      <c r="C118" s="130"/>
      <c r="D118" s="130"/>
      <c r="E118" s="46"/>
      <c r="F118" s="1"/>
    </row>
    <row r="119" spans="1:6" ht="12.75">
      <c r="A119" s="3" t="s">
        <v>391</v>
      </c>
      <c r="B119" s="45"/>
      <c r="C119" s="45"/>
      <c r="D119" s="45"/>
      <c r="E119" s="46"/>
      <c r="F119" s="131"/>
    </row>
    <row r="120" spans="1:7" ht="12.75">
      <c r="A120" s="27" t="s">
        <v>360</v>
      </c>
      <c r="B120" s="45"/>
      <c r="C120" s="45"/>
      <c r="D120" s="45"/>
      <c r="E120" s="46"/>
      <c r="G120" s="12" t="s">
        <v>25</v>
      </c>
    </row>
    <row r="121" spans="1:6" ht="12.75">
      <c r="A121" s="8" t="s">
        <v>359</v>
      </c>
      <c r="B121" s="45">
        <v>2234004.31</v>
      </c>
      <c r="C121" s="45">
        <v>3240936.03</v>
      </c>
      <c r="D121" s="45">
        <v>955976.34</v>
      </c>
      <c r="E121" s="46">
        <f>SUM(B121:D121)</f>
        <v>6430916.68</v>
      </c>
      <c r="F121" s="194">
        <f>(E121/$E$145)*100</f>
        <v>1.3038943116687078</v>
      </c>
    </row>
    <row r="122" spans="1:7" ht="12.75">
      <c r="A122" s="8" t="s">
        <v>428</v>
      </c>
      <c r="B122" s="45">
        <v>25873.29</v>
      </c>
      <c r="C122" s="45">
        <v>-133500</v>
      </c>
      <c r="D122" s="45"/>
      <c r="E122" s="46">
        <f>SUM(B122:D122)</f>
        <v>-107626.70999999999</v>
      </c>
      <c r="F122" s="194">
        <f>(E122/$E$145)*100</f>
        <v>-0.021821749827524998</v>
      </c>
      <c r="G122" s="12" t="s">
        <v>26</v>
      </c>
    </row>
    <row r="123" spans="1:7" ht="12.75">
      <c r="A123" s="27" t="s">
        <v>361</v>
      </c>
      <c r="B123" s="45"/>
      <c r="C123" s="45"/>
      <c r="D123" s="45"/>
      <c r="E123" s="46"/>
      <c r="F123" s="194"/>
      <c r="G123" s="12" t="s">
        <v>25</v>
      </c>
    </row>
    <row r="124" spans="1:7" ht="12.75">
      <c r="A124" s="8" t="s">
        <v>369</v>
      </c>
      <c r="B124" s="45">
        <f>88465</f>
        <v>88465</v>
      </c>
      <c r="C124" s="45">
        <v>52896</v>
      </c>
      <c r="D124" s="45">
        <v>50308</v>
      </c>
      <c r="E124" s="46">
        <f>SUM(B124:D124)</f>
        <v>191669</v>
      </c>
      <c r="F124" s="194">
        <f>(E124/$E$145)*100</f>
        <v>0.038861663314728186</v>
      </c>
      <c r="G124" s="12"/>
    </row>
    <row r="125" spans="1:6" ht="12.75">
      <c r="A125" s="8" t="s">
        <v>370</v>
      </c>
      <c r="B125" s="45">
        <f>26694</f>
        <v>26694</v>
      </c>
      <c r="C125" s="45">
        <v>53230</v>
      </c>
      <c r="D125" s="45">
        <v>16711</v>
      </c>
      <c r="E125" s="46">
        <f>SUM(B125:D125)</f>
        <v>96635</v>
      </c>
      <c r="F125" s="194">
        <f>(E125/$E$145)*100</f>
        <v>0.019593136263134667</v>
      </c>
    </row>
    <row r="126" spans="1:6" ht="12.75">
      <c r="A126" s="8" t="s">
        <v>371</v>
      </c>
      <c r="B126" s="45">
        <f>11440</f>
        <v>11440</v>
      </c>
      <c r="C126" s="45">
        <v>10717</v>
      </c>
      <c r="D126" s="45">
        <v>9927</v>
      </c>
      <c r="E126" s="46">
        <f>SUM(B126:D126)</f>
        <v>32084</v>
      </c>
      <c r="F126" s="194">
        <f>(E126/$E$145)*100</f>
        <v>0.006505160489123119</v>
      </c>
    </row>
    <row r="127" spans="1:7" ht="12.75">
      <c r="A127" s="27" t="s">
        <v>305</v>
      </c>
      <c r="B127" s="45"/>
      <c r="C127" s="45"/>
      <c r="D127" s="45"/>
      <c r="E127" s="46"/>
      <c r="F127" s="194"/>
      <c r="G127" s="12" t="s">
        <v>25</v>
      </c>
    </row>
    <row r="128" spans="1:7" ht="12.75">
      <c r="A128" s="8" t="s">
        <v>309</v>
      </c>
      <c r="B128" s="45">
        <v>7768161.13</v>
      </c>
      <c r="C128" s="45">
        <v>2963916.37</v>
      </c>
      <c r="D128" s="45">
        <v>2220002.72</v>
      </c>
      <c r="E128" s="46">
        <f aca="true" t="shared" si="6" ref="E128:E133">SUM(B128:D128)</f>
        <v>12952080.22</v>
      </c>
      <c r="F128" s="194">
        <f aca="true" t="shared" si="7" ref="F128:F133">(E128/$E$145)*100</f>
        <v>2.626086538433396</v>
      </c>
      <c r="G128" s="12"/>
    </row>
    <row r="129" spans="1:7" ht="12.75">
      <c r="A129" s="8" t="s">
        <v>353</v>
      </c>
      <c r="B129" s="45">
        <v>9996030.02</v>
      </c>
      <c r="C129" s="45">
        <v>2006412.71</v>
      </c>
      <c r="D129" s="45">
        <v>2745718.77</v>
      </c>
      <c r="E129" s="46">
        <f t="shared" si="6"/>
        <v>14748161.5</v>
      </c>
      <c r="F129" s="194">
        <f t="shared" si="7"/>
        <v>2.9902492668310297</v>
      </c>
      <c r="G129" s="12"/>
    </row>
    <row r="130" spans="1:7" ht="12.75">
      <c r="A130" s="8" t="s">
        <v>78</v>
      </c>
      <c r="B130" s="45">
        <v>1602966.04</v>
      </c>
      <c r="C130" s="45">
        <v>1553779.85</v>
      </c>
      <c r="D130" s="45">
        <v>1570406.07</v>
      </c>
      <c r="E130" s="46">
        <f t="shared" si="6"/>
        <v>4727151.96</v>
      </c>
      <c r="F130" s="194">
        <f t="shared" si="7"/>
        <v>0.958449138395241</v>
      </c>
      <c r="G130" s="12"/>
    </row>
    <row r="131" spans="1:7" ht="12.75">
      <c r="A131" s="8" t="s">
        <v>441</v>
      </c>
      <c r="B131" s="45">
        <v>9089.68</v>
      </c>
      <c r="C131" s="45"/>
      <c r="D131" s="45">
        <v>2357.08</v>
      </c>
      <c r="E131" s="46">
        <f t="shared" si="6"/>
        <v>11446.76</v>
      </c>
      <c r="F131" s="194">
        <f t="shared" si="7"/>
        <v>0.002320876788445174</v>
      </c>
      <c r="G131" s="12"/>
    </row>
    <row r="132" spans="1:7" ht="12.75">
      <c r="A132" s="8" t="s">
        <v>354</v>
      </c>
      <c r="B132" s="45">
        <v>-26558.42</v>
      </c>
      <c r="C132" s="45">
        <v>90769.18</v>
      </c>
      <c r="D132" s="45">
        <v>20000</v>
      </c>
      <c r="E132" s="46">
        <f t="shared" si="6"/>
        <v>84210.76</v>
      </c>
      <c r="F132" s="194">
        <f t="shared" si="7"/>
        <v>0.017074071459638126</v>
      </c>
      <c r="G132" s="12"/>
    </row>
    <row r="133" spans="1:7" ht="12.75">
      <c r="A133" s="8" t="s">
        <v>355</v>
      </c>
      <c r="B133" s="45">
        <v>706232.82</v>
      </c>
      <c r="C133" s="45">
        <v>234695.37</v>
      </c>
      <c r="D133" s="45">
        <v>465728.98</v>
      </c>
      <c r="E133" s="46">
        <f t="shared" si="6"/>
        <v>1406657.17</v>
      </c>
      <c r="F133" s="194">
        <f t="shared" si="7"/>
        <v>0.2852054184024979</v>
      </c>
      <c r="G133" s="12"/>
    </row>
    <row r="134" spans="1:6" ht="12.75">
      <c r="A134" s="8"/>
      <c r="B134" s="45"/>
      <c r="C134" s="45"/>
      <c r="D134" s="45"/>
      <c r="E134" s="46"/>
      <c r="F134" s="194"/>
    </row>
    <row r="135" spans="1:6" ht="12.75">
      <c r="A135" s="132" t="s">
        <v>396</v>
      </c>
      <c r="B135" s="133">
        <f>SUM(B121:B133)</f>
        <v>22442397.869999997</v>
      </c>
      <c r="C135" s="133">
        <f>SUM(C121:C133)</f>
        <v>10073852.51</v>
      </c>
      <c r="D135" s="133">
        <f>SUM(D121:D133)</f>
        <v>8057135.960000001</v>
      </c>
      <c r="E135" s="133">
        <f>SUM(E121:E133)</f>
        <v>40573386.339999996</v>
      </c>
      <c r="F135" s="195">
        <f>SUM(F121:F133)</f>
        <v>8.226417832218416</v>
      </c>
    </row>
    <row r="136" ht="12.75">
      <c r="F136" s="196"/>
    </row>
    <row r="137" spans="1:7" ht="12.75">
      <c r="A137" s="27" t="s">
        <v>394</v>
      </c>
      <c r="B137" s="45"/>
      <c r="C137" s="45"/>
      <c r="D137" s="45"/>
      <c r="E137" s="46"/>
      <c r="F137" s="194"/>
      <c r="G137" s="12" t="s">
        <v>25</v>
      </c>
    </row>
    <row r="138" spans="1:6" ht="12.75">
      <c r="A138" s="8" t="s">
        <v>313</v>
      </c>
      <c r="B138" s="45">
        <v>102268085.08</v>
      </c>
      <c r="C138" s="45">
        <v>98766053.54</v>
      </c>
      <c r="D138" s="45">
        <v>98463691.4</v>
      </c>
      <c r="E138" s="46">
        <f>SUM(B138:D138)</f>
        <v>299497830.02</v>
      </c>
      <c r="F138" s="194">
        <f>(E138/$E$145)*100</f>
        <v>60.72439379205261</v>
      </c>
    </row>
    <row r="139" spans="1:7" ht="12.75">
      <c r="A139" s="8" t="s">
        <v>314</v>
      </c>
      <c r="B139" s="45">
        <v>3604679.06</v>
      </c>
      <c r="C139" s="45"/>
      <c r="D139" s="45">
        <v>1185660.17</v>
      </c>
      <c r="E139" s="46">
        <f>SUM(B139:D139)</f>
        <v>4790339.23</v>
      </c>
      <c r="F139" s="194">
        <f>(E139/$E$145)*100</f>
        <v>0.9712606124078192</v>
      </c>
      <c r="G139" s="12"/>
    </row>
    <row r="140" spans="1:7" ht="12.75">
      <c r="A140" s="8" t="s">
        <v>315</v>
      </c>
      <c r="B140" s="45">
        <v>5431915.64</v>
      </c>
      <c r="C140" s="45">
        <v>5197465.88</v>
      </c>
      <c r="D140" s="45">
        <v>5131180.77</v>
      </c>
      <c r="E140" s="46">
        <f>SUM(B140:D140)</f>
        <v>15760562.29</v>
      </c>
      <c r="F140" s="194">
        <f>(E140/$E$145)*100</f>
        <v>3.1955176129931364</v>
      </c>
      <c r="G140" s="12"/>
    </row>
    <row r="141" spans="1:7" ht="12.75">
      <c r="A141" s="8" t="s">
        <v>523</v>
      </c>
      <c r="B141" s="45"/>
      <c r="C141" s="45"/>
      <c r="D141" s="45">
        <v>52430269.48</v>
      </c>
      <c r="E141" s="46">
        <f>SUM(B141:D141)</f>
        <v>52430269.48</v>
      </c>
      <c r="F141" s="136">
        <f>(E141/$E$145)*100</f>
        <v>10.630448742531286</v>
      </c>
      <c r="G141" s="12"/>
    </row>
    <row r="142" spans="2:7" ht="12.75">
      <c r="B142" s="45"/>
      <c r="C142" s="45"/>
      <c r="D142" s="45"/>
      <c r="E142" s="46"/>
      <c r="F142" s="194"/>
      <c r="G142" s="12"/>
    </row>
    <row r="143" spans="1:7" ht="12.75">
      <c r="A143" s="132" t="s">
        <v>397</v>
      </c>
      <c r="B143" s="128">
        <f>SUM(B138:B141)</f>
        <v>111304679.78</v>
      </c>
      <c r="C143" s="128">
        <f>SUM(C138:C141)</f>
        <v>103963519.42</v>
      </c>
      <c r="D143" s="128">
        <f>SUM(D138:D141)</f>
        <v>157210801.82</v>
      </c>
      <c r="E143" s="128">
        <f>SUM(E138:E141)</f>
        <v>372479001.02000004</v>
      </c>
      <c r="F143" s="137">
        <f>SUM(F138:F141)</f>
        <v>75.52162075998486</v>
      </c>
      <c r="G143" s="12"/>
    </row>
    <row r="144" spans="1:6" ht="12.75">
      <c r="A144" s="8"/>
      <c r="B144" s="46"/>
      <c r="C144" s="46"/>
      <c r="D144" s="46"/>
      <c r="E144" s="46"/>
      <c r="F144" s="197"/>
    </row>
    <row r="145" spans="1:6" ht="13.5" thickBot="1">
      <c r="A145" s="3" t="s">
        <v>324</v>
      </c>
      <c r="B145" s="138">
        <f>SUM(B39+B91+B135+B143)</f>
        <v>169944440.8</v>
      </c>
      <c r="C145" s="138">
        <f>SUM(C39+C91+C135+C143)</f>
        <v>128681520.59</v>
      </c>
      <c r="D145" s="138">
        <f>SUM(D39+D91+D135+D143)</f>
        <v>194582469.88</v>
      </c>
      <c r="E145" s="138">
        <f>SUM(E39+E91+E135+E143)</f>
        <v>493208431.27000004</v>
      </c>
      <c r="F145" s="193">
        <f>SUM(F39+F91+F135+F143)</f>
        <v>99.99999999999999</v>
      </c>
    </row>
    <row r="146" spans="1:6" ht="13.5" thickTop="1">
      <c r="A146" s="26"/>
      <c r="B146" s="44"/>
      <c r="C146" s="44"/>
      <c r="D146" s="44"/>
      <c r="E146" s="44"/>
      <c r="F146" s="26"/>
    </row>
    <row r="158" ht="12.75">
      <c r="A158" s="11" t="s">
        <v>31</v>
      </c>
    </row>
    <row r="160" ht="12.75">
      <c r="A160" s="21" t="s">
        <v>531</v>
      </c>
    </row>
    <row r="161" ht="12.75">
      <c r="A161" s="21"/>
    </row>
    <row r="162" ht="12.75">
      <c r="A162" s="21" t="s">
        <v>532</v>
      </c>
    </row>
  </sheetData>
  <mergeCells count="16">
    <mergeCell ref="A58:F58"/>
    <mergeCell ref="A59:F59"/>
    <mergeCell ref="A113:F113"/>
    <mergeCell ref="E109:F109"/>
    <mergeCell ref="A110:F110"/>
    <mergeCell ref="A111:F111"/>
    <mergeCell ref="A112:F112"/>
    <mergeCell ref="A57:F57"/>
    <mergeCell ref="E40:F40"/>
    <mergeCell ref="A56:F56"/>
    <mergeCell ref="E55:F55"/>
    <mergeCell ref="A5:F5"/>
    <mergeCell ref="E1:F1"/>
    <mergeCell ref="A2:F2"/>
    <mergeCell ref="A3:F3"/>
    <mergeCell ref="A4:F4"/>
  </mergeCells>
  <printOptions/>
  <pageMargins left="0.7" right="0.39" top="0.7874015748031497" bottom="0.7874015748031497" header="0" footer="0"/>
  <pageSetup horizontalDpi="600" verticalDpi="600" orientation="portrait" r:id="rId1"/>
  <headerFooter alignWithMargins="0"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6.57421875" style="2" customWidth="1"/>
    <col min="2" max="2" width="11.421875" style="33" customWidth="1"/>
    <col min="3" max="3" width="10.8515625" style="33" customWidth="1"/>
    <col min="4" max="4" width="10.28125" style="33" customWidth="1"/>
    <col min="5" max="5" width="10.00390625" style="33" bestFit="1" customWidth="1"/>
    <col min="6" max="6" width="6.8515625" style="2" bestFit="1" customWidth="1"/>
    <col min="7" max="16384" width="11.421875" style="2" customWidth="1"/>
  </cols>
  <sheetData>
    <row r="1" spans="5:6" ht="13.5" thickBot="1">
      <c r="E1" s="275" t="s">
        <v>12</v>
      </c>
      <c r="F1" s="275"/>
    </row>
    <row r="2" spans="1:6" ht="15">
      <c r="A2" s="261" t="s">
        <v>19</v>
      </c>
      <c r="B2" s="262"/>
      <c r="C2" s="262"/>
      <c r="D2" s="262"/>
      <c r="E2" s="262"/>
      <c r="F2" s="263"/>
    </row>
    <row r="3" spans="1:6" ht="15">
      <c r="A3" s="264" t="s">
        <v>20</v>
      </c>
      <c r="B3" s="265"/>
      <c r="C3" s="265"/>
      <c r="D3" s="265"/>
      <c r="E3" s="265"/>
      <c r="F3" s="266"/>
    </row>
    <row r="4" spans="1:6" ht="15">
      <c r="A4" s="267" t="s">
        <v>327</v>
      </c>
      <c r="B4" s="268"/>
      <c r="C4" s="268"/>
      <c r="D4" s="268"/>
      <c r="E4" s="268"/>
      <c r="F4" s="269"/>
    </row>
    <row r="5" spans="1:7" ht="15.75" thickBot="1">
      <c r="A5" s="270" t="s">
        <v>500</v>
      </c>
      <c r="B5" s="271"/>
      <c r="C5" s="271"/>
      <c r="D5" s="271"/>
      <c r="E5" s="271"/>
      <c r="F5" s="272"/>
      <c r="G5" s="63"/>
    </row>
    <row r="6" spans="2:5" ht="8.25" customHeight="1" thickBot="1">
      <c r="B6" s="2"/>
      <c r="C6" s="2"/>
      <c r="D6" s="2"/>
      <c r="E6" s="2"/>
    </row>
    <row r="7" spans="1:6" ht="12.75">
      <c r="A7" s="94"/>
      <c r="B7" s="94"/>
      <c r="C7" s="94"/>
      <c r="D7" s="94"/>
      <c r="E7" s="94"/>
      <c r="F7" s="95"/>
    </row>
    <row r="8" spans="1:6" ht="12.75">
      <c r="A8" s="96" t="s">
        <v>21</v>
      </c>
      <c r="B8" s="97" t="s">
        <v>478</v>
      </c>
      <c r="C8" s="97" t="s">
        <v>479</v>
      </c>
      <c r="D8" s="97" t="s">
        <v>499</v>
      </c>
      <c r="E8" s="96" t="s">
        <v>22</v>
      </c>
      <c r="F8" s="98" t="s">
        <v>23</v>
      </c>
    </row>
    <row r="9" spans="1:6" ht="13.5" thickBot="1">
      <c r="A9" s="99"/>
      <c r="B9" s="99"/>
      <c r="C9" s="99"/>
      <c r="D9" s="99"/>
      <c r="E9" s="99"/>
      <c r="F9" s="100"/>
    </row>
    <row r="10" spans="2:6" ht="6" customHeight="1">
      <c r="B10" s="45"/>
      <c r="C10" s="45"/>
      <c r="E10" s="45"/>
      <c r="F10" s="127"/>
    </row>
    <row r="11" spans="1:6" ht="12.75">
      <c r="A11" s="2" t="s">
        <v>191</v>
      </c>
      <c r="B11" s="45">
        <v>-127479.91</v>
      </c>
      <c r="C11" s="45"/>
      <c r="D11" s="45"/>
      <c r="E11" s="46">
        <f aca="true" t="shared" si="0" ref="E11:E16">SUM(B11:D11)</f>
        <v>-127479.91</v>
      </c>
      <c r="F11" s="59">
        <f aca="true" t="shared" si="1" ref="F11:F16">(E11/$E$18)*100</f>
        <v>-10.19191367817182</v>
      </c>
    </row>
    <row r="12" spans="1:6" ht="12.75">
      <c r="A12" s="2" t="s">
        <v>509</v>
      </c>
      <c r="B12" s="45">
        <v>-5487.8</v>
      </c>
      <c r="C12" s="45"/>
      <c r="D12" s="45"/>
      <c r="E12" s="46">
        <f t="shared" si="0"/>
        <v>-5487.8</v>
      </c>
      <c r="F12" s="59">
        <f t="shared" si="1"/>
        <v>-0.43874508448485194</v>
      </c>
    </row>
    <row r="13" spans="1:6" ht="12.75">
      <c r="A13" s="2" t="s">
        <v>425</v>
      </c>
      <c r="B13" s="45">
        <v>-244102.04</v>
      </c>
      <c r="C13" s="45"/>
      <c r="D13" s="45"/>
      <c r="E13" s="46">
        <f t="shared" si="0"/>
        <v>-244102.04</v>
      </c>
      <c r="F13" s="59">
        <f t="shared" si="1"/>
        <v>-19.51575679921366</v>
      </c>
    </row>
    <row r="14" spans="1:6" ht="12.75">
      <c r="A14" s="2" t="s">
        <v>402</v>
      </c>
      <c r="B14" s="45">
        <f>1306266.46-990112.64+1174083.09</f>
        <v>1490236.9100000001</v>
      </c>
      <c r="C14" s="45"/>
      <c r="D14" s="45">
        <v>29771.53</v>
      </c>
      <c r="E14" s="46">
        <f t="shared" si="0"/>
        <v>1520008.4400000002</v>
      </c>
      <c r="F14" s="59">
        <f t="shared" si="1"/>
        <v>121.52342130279676</v>
      </c>
    </row>
    <row r="15" spans="1:6" ht="12.75">
      <c r="A15" s="8" t="s">
        <v>79</v>
      </c>
      <c r="B15" s="45">
        <f>46582.5-5172.5</f>
        <v>41410</v>
      </c>
      <c r="C15" s="45">
        <v>35183</v>
      </c>
      <c r="D15" s="45">
        <v>34148.5</v>
      </c>
      <c r="E15" s="46">
        <f t="shared" si="0"/>
        <v>110741.5</v>
      </c>
      <c r="F15" s="59">
        <f t="shared" si="1"/>
        <v>8.853691602004305</v>
      </c>
    </row>
    <row r="16" spans="1:6" ht="12.75">
      <c r="A16" s="8" t="s">
        <v>351</v>
      </c>
      <c r="B16" s="45">
        <v>-3253.55</v>
      </c>
      <c r="C16" s="45">
        <v>368</v>
      </c>
      <c r="D16" s="45"/>
      <c r="E16" s="46">
        <f t="shared" si="0"/>
        <v>-2885.55</v>
      </c>
      <c r="F16" s="59">
        <f t="shared" si="1"/>
        <v>-0.2306973429307308</v>
      </c>
    </row>
    <row r="17" spans="1:6" ht="12.75">
      <c r="A17" s="8"/>
      <c r="B17" s="45"/>
      <c r="C17" s="45"/>
      <c r="D17" s="45"/>
      <c r="E17" s="45"/>
      <c r="F17" s="59"/>
    </row>
    <row r="18" spans="1:6" ht="13.5" thickBot="1">
      <c r="A18" s="3" t="s">
        <v>140</v>
      </c>
      <c r="B18" s="139">
        <f>SUM(B11:B17)</f>
        <v>1151323.61</v>
      </c>
      <c r="C18" s="139">
        <f>SUM(C11:C17)</f>
        <v>35551</v>
      </c>
      <c r="D18" s="139">
        <f>SUM(D11:D17)</f>
        <v>63920.03</v>
      </c>
      <c r="E18" s="139">
        <f>SUM(E11:E17)</f>
        <v>1250794.6400000001</v>
      </c>
      <c r="F18" s="140">
        <f>SUM(F11:F17)</f>
        <v>100.00000000000001</v>
      </c>
    </row>
    <row r="19" ht="13.5" thickTop="1"/>
  </sheetData>
  <mergeCells count="5">
    <mergeCell ref="A5:F5"/>
    <mergeCell ref="E1:F1"/>
    <mergeCell ref="A2:F2"/>
    <mergeCell ref="A3:F3"/>
    <mergeCell ref="A4:F4"/>
  </mergeCells>
  <printOptions/>
  <pageMargins left="0.984251968503937" right="0.85" top="0.984251968503937" bottom="0.7874015748031497" header="0" footer="0"/>
  <pageSetup horizontalDpi="600" verticalDpi="600" orientation="portrait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Autonoma de Sin.</dc:creator>
  <cp:keywords/>
  <dc:description/>
  <cp:lastModifiedBy>Contabilidad</cp:lastModifiedBy>
  <cp:lastPrinted>2006-09-25T16:30:58Z</cp:lastPrinted>
  <dcterms:created xsi:type="dcterms:W3CDTF">2003-01-28T22:37:29Z</dcterms:created>
  <dcterms:modified xsi:type="dcterms:W3CDTF">2006-09-25T16:31:08Z</dcterms:modified>
  <cp:category/>
  <cp:version/>
  <cp:contentType/>
  <cp:contentStatus/>
</cp:coreProperties>
</file>