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5" windowWidth="11580" windowHeight="6810" tabRatio="954" activeTab="0"/>
  </bookViews>
  <sheets>
    <sheet name="Flujo" sheetId="1" r:id="rId1"/>
    <sheet name="Sub" sheetId="2" r:id="rId2"/>
    <sheet name="I.Sub" sheetId="3" r:id="rId3"/>
    <sheet name="A.Sub " sheetId="4" r:id="rId4"/>
    <sheet name="Ing.Prop" sheetId="5" r:id="rId5"/>
    <sheet name="O.Ing.Prop" sheetId="6" r:id="rId6"/>
    <sheet name="O.Ing" sheetId="7" r:id="rId7"/>
    <sheet name="Proy.Esp" sheetId="8" r:id="rId8"/>
    <sheet name="Serv.Per" sheetId="9" r:id="rId9"/>
    <sheet name="Mat.Cons" sheetId="10" r:id="rId10"/>
    <sheet name="Serv.Grals" sheetId="11" r:id="rId11"/>
    <sheet name="Gto.Comp" sheetId="12" r:id="rId12"/>
    <sheet name="G.C.Op" sheetId="13" r:id="rId13"/>
    <sheet name="G.C.Viat" sheetId="14" r:id="rId14"/>
    <sheet name="G.C.Ing.Prop" sheetId="15" r:id="rId15"/>
    <sheet name="G.C.Donat" sheetId="16" r:id="rId16"/>
    <sheet name="G.C.Etiq" sheetId="17" r:id="rId17"/>
    <sheet name="G.C.PROFAPI" sheetId="18" r:id="rId18"/>
    <sheet name="G.C.PROY.ESP" sheetId="19" r:id="rId19"/>
    <sheet name="Bancos Enero" sheetId="20" r:id="rId20"/>
    <sheet name="Bancos Octubre" sheetId="21" r:id="rId21"/>
  </sheets>
  <definedNames>
    <definedName name="_xlnm.Print_Area" localSheetId="0">'Flujo'!$A$1:$H$52</definedName>
    <definedName name="_xlnm.Print_Area" localSheetId="12">'G.C.Op'!$A$1:$F$122</definedName>
    <definedName name="_xlnm.Print_Area" localSheetId="11">'Gto.Comp'!$A$1:$G$53</definedName>
    <definedName name="_xlnm.Print_Area" localSheetId="4">'Ing.Prop'!$A$1:$G$76</definedName>
    <definedName name="_xlnm.Print_Area" localSheetId="6">'O.Ing'!$A$1:$G$55</definedName>
    <definedName name="_xlnm.Print_Area" localSheetId="8">'Serv.Per'!$A$1:$G$100</definedName>
    <definedName name="_xlnm.Print_Titles" localSheetId="3">'A.Sub '!$1:$10</definedName>
    <definedName name="_xlnm.Print_Titles" localSheetId="19">'Bancos Enero'!$1:$7</definedName>
    <definedName name="_xlnm.Print_Titles" localSheetId="20">'Bancos Octubre'!$1:$7</definedName>
    <definedName name="_xlnm.Print_Titles" localSheetId="14">'G.C.Ing.Prop'!$1:$8</definedName>
    <definedName name="_xlnm.Print_Titles" localSheetId="12">'G.C.Op'!$1:$8</definedName>
    <definedName name="_xlnm.Print_Titles" localSheetId="13">'G.C.Viat'!$1:$8</definedName>
    <definedName name="_xlnm.Print_Titles" localSheetId="4">'Ing.Prop'!$1:$8</definedName>
    <definedName name="_xlnm.Print_Titles" localSheetId="7">'Proy.Esp'!$1:$8</definedName>
    <definedName name="_xlnm.Print_Titles" localSheetId="8">'Serv.Per'!$1:$8</definedName>
  </definedNames>
  <calcPr fullCalcOnLoad="1"/>
</workbook>
</file>

<file path=xl/sharedStrings.xml><?xml version="1.0" encoding="utf-8"?>
<sst xmlns="http://schemas.openxmlformats.org/spreadsheetml/2006/main" count="1236" uniqueCount="693">
  <si>
    <t>C   O   N   C   E   P   T   O</t>
  </si>
  <si>
    <t>IMPORTE</t>
  </si>
  <si>
    <t>SUBSIDIOS</t>
  </si>
  <si>
    <t>Anexo I</t>
  </si>
  <si>
    <t>INGRESOS PROPIOS</t>
  </si>
  <si>
    <t>Anexo II</t>
  </si>
  <si>
    <t>OTROS TIPOS DE INGRESOS PROPIOS</t>
  </si>
  <si>
    <t>Anexo III</t>
  </si>
  <si>
    <t>Anexo IV</t>
  </si>
  <si>
    <t>OTROS INGRESOS</t>
  </si>
  <si>
    <t>Anexo V</t>
  </si>
  <si>
    <t xml:space="preserve">SERVICIOS PERSONALES </t>
  </si>
  <si>
    <t>Anexo VI</t>
  </si>
  <si>
    <t>MATERIALES DE CONSUMO</t>
  </si>
  <si>
    <t>Anexo VII</t>
  </si>
  <si>
    <t>SERVICIOS GENERALES</t>
  </si>
  <si>
    <t>Anexo VIII</t>
  </si>
  <si>
    <t>GASTOS A COMPROBAR</t>
  </si>
  <si>
    <t>Anexo IX</t>
  </si>
  <si>
    <t>Total</t>
  </si>
  <si>
    <t>%</t>
  </si>
  <si>
    <t>Subsidio Federal Ordinario</t>
  </si>
  <si>
    <t>1)</t>
  </si>
  <si>
    <t>2)</t>
  </si>
  <si>
    <t>Total Subsidios Federales</t>
  </si>
  <si>
    <t>Subsidio Estatal Ordinario</t>
  </si>
  <si>
    <t>3)</t>
  </si>
  <si>
    <t>Total Subsidios Estatales</t>
  </si>
  <si>
    <t>Notas:</t>
  </si>
  <si>
    <t>Anexo I-1</t>
  </si>
  <si>
    <t xml:space="preserve">Fecha </t>
  </si>
  <si>
    <t xml:space="preserve">Subsidio </t>
  </si>
  <si>
    <t>Subsidio</t>
  </si>
  <si>
    <t>de</t>
  </si>
  <si>
    <t>Inscripciones</t>
  </si>
  <si>
    <t>Pre-inscripciones</t>
  </si>
  <si>
    <t>Cuotas colegiaturas</t>
  </si>
  <si>
    <t xml:space="preserve">Cuotas laboratorio </t>
  </si>
  <si>
    <t>Cuotas deporte</t>
  </si>
  <si>
    <t>Exámenes</t>
  </si>
  <si>
    <t xml:space="preserve">Constancias </t>
  </si>
  <si>
    <t>Validación</t>
  </si>
  <si>
    <t>Fideicomiso PROMEP 2001</t>
  </si>
  <si>
    <t>Intereses normales</t>
  </si>
  <si>
    <t>Total Ingresos Propios</t>
  </si>
  <si>
    <t>Cuotas varias</t>
  </si>
  <si>
    <t>Cambios y bajas de escuela</t>
  </si>
  <si>
    <t>Donativos en custodia</t>
  </si>
  <si>
    <t>Proyectos especiales</t>
  </si>
  <si>
    <t>Diversos</t>
  </si>
  <si>
    <t>Nota:</t>
  </si>
  <si>
    <t>Ayuda transporte preescolar</t>
  </si>
  <si>
    <t>Ayuda para gastos de defunción</t>
  </si>
  <si>
    <t>Ayuda para gastos médicos</t>
  </si>
  <si>
    <t>Ayuda para gastos dentales</t>
  </si>
  <si>
    <t>Ayuda para gastos ortopédicos</t>
  </si>
  <si>
    <t>Ayuda para anteojos</t>
  </si>
  <si>
    <t>Apoyo cartera deporte sindical</t>
  </si>
  <si>
    <t>Formación de personal</t>
  </si>
  <si>
    <t>FONACOT</t>
  </si>
  <si>
    <t>Combustibles, lubricantes y aditivos</t>
  </si>
  <si>
    <t>Energía eléctrica</t>
  </si>
  <si>
    <t>Arrendamiento de inmuebles</t>
  </si>
  <si>
    <t>Impresiones</t>
  </si>
  <si>
    <t>Honorarios profesionales</t>
  </si>
  <si>
    <t>Alimentación administración general</t>
  </si>
  <si>
    <t>Exoneraciones por prestaciones</t>
  </si>
  <si>
    <t>Apoyos económicos</t>
  </si>
  <si>
    <t>Rectoría</t>
  </si>
  <si>
    <t>Contraloría General</t>
  </si>
  <si>
    <t>Contraloría Académica</t>
  </si>
  <si>
    <t>Dirección General de Deportes</t>
  </si>
  <si>
    <t>Dirección de Radio UAS</t>
  </si>
  <si>
    <t>Departamento de Sueldos y Salarios</t>
  </si>
  <si>
    <t>Departamento de Contabilidad General</t>
  </si>
  <si>
    <t>Escuela de Biología Culiacán</t>
  </si>
  <si>
    <t>Facultad de Contaduría y Admón. Culiacán</t>
  </si>
  <si>
    <t>Facultad de Historia</t>
  </si>
  <si>
    <t>Torre Académica Culiacán</t>
  </si>
  <si>
    <t>Escuela de Ingeniería Mazatlán</t>
  </si>
  <si>
    <t>Coord. General de PROMEP</t>
  </si>
  <si>
    <t>Facultad de Agronomía</t>
  </si>
  <si>
    <t>Facultad de Ciencias del Mar</t>
  </si>
  <si>
    <t>Escuela Preparatoria Emiliano Zapata</t>
  </si>
  <si>
    <t>Escuela Preparatoria Navolato</t>
  </si>
  <si>
    <t>Escuela de Turismo Mazatlán</t>
  </si>
  <si>
    <t>Escuela Preparatoria Carlos Marx</t>
  </si>
  <si>
    <t>Escuela Preparatoria Central Nocturna</t>
  </si>
  <si>
    <t>Escuela Preparatoria Sandino</t>
  </si>
  <si>
    <t>Escuela Preparatoria Victoria del Pueblo</t>
  </si>
  <si>
    <t>Escuela Preparatoria El Fuerte</t>
  </si>
  <si>
    <t>Escuela Preparatoria Los Mochis</t>
  </si>
  <si>
    <t>Escuela Preparatoria Angostura</t>
  </si>
  <si>
    <t>Escuela Preparatoria Rubén Jaramillo</t>
  </si>
  <si>
    <t>Cuenta</t>
  </si>
  <si>
    <t>T o t a l</t>
  </si>
  <si>
    <t>Control</t>
  </si>
  <si>
    <t>205366-0</t>
  </si>
  <si>
    <t>8675074-4</t>
  </si>
  <si>
    <t>1018205-3</t>
  </si>
  <si>
    <t>Fideicomiso PROMEP-2001</t>
  </si>
  <si>
    <t>100337-0</t>
  </si>
  <si>
    <t>PC-083/95</t>
  </si>
  <si>
    <t>Total General</t>
  </si>
  <si>
    <t xml:space="preserve">                        </t>
  </si>
  <si>
    <t>Escuela Preparatoria Antonio Rosales</t>
  </si>
  <si>
    <t>SALDO FINAL EN BANCOS</t>
  </si>
  <si>
    <t>SALDO INICIAL EN BANCOS</t>
  </si>
  <si>
    <t>Atención y servicios de oficina</t>
  </si>
  <si>
    <t>Banorte</t>
  </si>
  <si>
    <t>Departamento de Auditoría Interna</t>
  </si>
  <si>
    <t>Escuela Preparatoria La Cruz</t>
  </si>
  <si>
    <t>Telefonía celular</t>
  </si>
  <si>
    <t>Anexo IV-1</t>
  </si>
  <si>
    <t>Anexo VIII-1</t>
  </si>
  <si>
    <t>Anexo VIII-2</t>
  </si>
  <si>
    <t>Anexo VIII-3</t>
  </si>
  <si>
    <t>Anexo VIII-4</t>
  </si>
  <si>
    <t>Anexo VIII-5</t>
  </si>
  <si>
    <t>Banco</t>
  </si>
  <si>
    <t>Partidas por comprobar viáticos</t>
  </si>
  <si>
    <t>Partidas por comprobar donativos</t>
  </si>
  <si>
    <t>Proyectos Especiales</t>
  </si>
  <si>
    <t>Escuela Preparatoria Heraclio Bernal</t>
  </si>
  <si>
    <t>Escuela Preparatoria Hnos. Flores Magon</t>
  </si>
  <si>
    <t>Escuela Preparatoria Juan José Rios</t>
  </si>
  <si>
    <t>Escuela Preparatoria Ruiz Cortinez</t>
  </si>
  <si>
    <t>Departamento de Prestaciones Sociales</t>
  </si>
  <si>
    <t>Departamento Centro de Instrumentos</t>
  </si>
  <si>
    <t>Seguro de vida</t>
  </si>
  <si>
    <t>Coordinación General Zona Sur</t>
  </si>
  <si>
    <t>Total  Caja y Bancos</t>
  </si>
  <si>
    <t>Recepción</t>
  </si>
  <si>
    <t>Federal</t>
  </si>
  <si>
    <t>Ordinario</t>
  </si>
  <si>
    <t>Estatal</t>
  </si>
  <si>
    <t>Depositado</t>
  </si>
  <si>
    <t>Dirección General de Escuelas Preparatorias</t>
  </si>
  <si>
    <t>Dirección de Asuntos Jurídicos</t>
  </si>
  <si>
    <t>Dirección de Informática</t>
  </si>
  <si>
    <t>Dirección de Editorial</t>
  </si>
  <si>
    <t>Departamento de Personal</t>
  </si>
  <si>
    <t>Coordinación General Zona Norte</t>
  </si>
  <si>
    <t>Coordinación Operativa del SIIA</t>
  </si>
  <si>
    <t>Escuela Preparatoria Guasave Diurna</t>
  </si>
  <si>
    <t>Escuela Preparatoria Lázaro Cárdenas</t>
  </si>
  <si>
    <t>Escuela Preparatoria Mazatlán</t>
  </si>
  <si>
    <t>UAS Gasto Operativo</t>
  </si>
  <si>
    <t>Fondo de Garantía Para la Vivienda</t>
  </si>
  <si>
    <t>Coord. General de Investigación y Posgrado</t>
  </si>
  <si>
    <t>Colegiaturas El Fuerte</t>
  </si>
  <si>
    <t>Inversión Creciente (Inversiones)</t>
  </si>
  <si>
    <t>U.A.S. Maestría E.U.A. y Canadá (Dlls.)</t>
  </si>
  <si>
    <t>Total de Inversiones Disponibles</t>
  </si>
  <si>
    <t>Recursos en Fideicomisos y Cuentas para Proyectos Específicos</t>
  </si>
  <si>
    <t>UAS Proyectos Diversos (Dlls.)</t>
  </si>
  <si>
    <t>Total de Recursos en Fideicomisos</t>
  </si>
  <si>
    <t xml:space="preserve">T o t a l </t>
  </si>
  <si>
    <t>Total Ingresos por Subsidios</t>
  </si>
  <si>
    <t xml:space="preserve">Título en cuero </t>
  </si>
  <si>
    <t>Intereses Ganados</t>
  </si>
  <si>
    <t>Prima de antigüedad por jubilación</t>
  </si>
  <si>
    <t>Secretaría General</t>
  </si>
  <si>
    <t>Inversiones Disponibles</t>
  </si>
  <si>
    <t>Nombre  de  la  Cuenta</t>
  </si>
  <si>
    <t>Partidas por comprobar gasto operativo</t>
  </si>
  <si>
    <t>Partidas por comprobar gasto etiquetado</t>
  </si>
  <si>
    <t>Dirección General de Recursos Humanos</t>
  </si>
  <si>
    <t>Coord. General de Planeación y Desarrollo</t>
  </si>
  <si>
    <t>Dirección de Comunicación Social</t>
  </si>
  <si>
    <t>Dirección de Construcción y Mantenimiento</t>
  </si>
  <si>
    <t>Facultad de Ciencias Químico Biológicas</t>
  </si>
  <si>
    <t>Escuela Preparatoria Concordia</t>
  </si>
  <si>
    <t>Escuela de Ciencias Económicas y Admvas.</t>
  </si>
  <si>
    <t>Escuela de Derecho Mazatlán</t>
  </si>
  <si>
    <t>Santander Serfin</t>
  </si>
  <si>
    <t>BBVA Bancomer</t>
  </si>
  <si>
    <t>HSBC</t>
  </si>
  <si>
    <t>Scotiabank Inverlat</t>
  </si>
  <si>
    <t>UAS Control</t>
  </si>
  <si>
    <t>UAS Colegiatura Ingresos Propios</t>
  </si>
  <si>
    <t>Escuela de Ciencias Computacionales</t>
  </si>
  <si>
    <t>00176690748</t>
  </si>
  <si>
    <t>Departamento de Archivo General</t>
  </si>
  <si>
    <t>Escuela Preparatoria Genaro Vázquez Rojas</t>
  </si>
  <si>
    <t>Centro de Idiomas Culiacán</t>
  </si>
  <si>
    <t>Coordinación General Zona Centro Norte</t>
  </si>
  <si>
    <t>Escuela Preparatoria San Blas</t>
  </si>
  <si>
    <t>Coord. General de Acceso a la Información Pública</t>
  </si>
  <si>
    <t>Escuela Preparatoria La Reforma</t>
  </si>
  <si>
    <t>Escuela de Derecho Guasave</t>
  </si>
  <si>
    <t>Seguridad para resguardo de valores</t>
  </si>
  <si>
    <t>Retenciones por Pagar</t>
  </si>
  <si>
    <t>Reposición de cheques de caja cta. puente</t>
  </si>
  <si>
    <t>Fondo alternativo</t>
  </si>
  <si>
    <t>Fondo revolvente</t>
  </si>
  <si>
    <t>Reposición de Cheques de Caja cta. puente</t>
  </si>
  <si>
    <t>UAS Inversiones</t>
  </si>
  <si>
    <t>UAS Ingresos Caja General</t>
  </si>
  <si>
    <t>Subtotal Ingresos Propios</t>
  </si>
  <si>
    <t>Total Intereses Generados</t>
  </si>
  <si>
    <t>Subtotal Servicios Personales</t>
  </si>
  <si>
    <t>Total Servicios Personales</t>
  </si>
  <si>
    <t>Caja General</t>
  </si>
  <si>
    <t>Dirección de Servicio Social Universitario</t>
  </si>
  <si>
    <t>Facultad de Medicina Veterinaria y Zootecnia</t>
  </si>
  <si>
    <t>Facultad de Ingeniería Culiacán</t>
  </si>
  <si>
    <t>Facultad de Ciencias Sociales Mazatlán</t>
  </si>
  <si>
    <t>Escuela Preparatoria Víctor Manuel Tirado L.</t>
  </si>
  <si>
    <t>Centro de Idiomas Los Mochis</t>
  </si>
  <si>
    <t>Centro de Idiomas Guasave</t>
  </si>
  <si>
    <t>Centro de Idiomas Mazatlán</t>
  </si>
  <si>
    <t>Escuela de Música</t>
  </si>
  <si>
    <t>Comisiones bancarias</t>
  </si>
  <si>
    <t>Estacionamientos</t>
  </si>
  <si>
    <t>Embargo judicial</t>
  </si>
  <si>
    <t>Descuentos bancos</t>
  </si>
  <si>
    <t>Bonos (Material didáctico por documentar)</t>
  </si>
  <si>
    <t>Impuestos por Pagar</t>
  </si>
  <si>
    <t>Proyectos Diversos</t>
  </si>
  <si>
    <t>Entrega de donativos en custodia efectivo</t>
  </si>
  <si>
    <t>Antigüedad</t>
  </si>
  <si>
    <t xml:space="preserve">Cuentas de Cheques     </t>
  </si>
  <si>
    <t>4)</t>
  </si>
  <si>
    <t>5)</t>
  </si>
  <si>
    <t>65501752447</t>
  </si>
  <si>
    <t>NUMERO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</si>
  <si>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</si>
  <si>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</si>
  <si>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</si>
  <si>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</si>
  <si>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</si>
  <si>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</si>
  <si>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</si>
  <si>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</si>
  <si>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</si>
  <si>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Subtotal cuentas por pagar</t>
  </si>
  <si>
    <t>Subtotal por traspasos bancarios</t>
  </si>
  <si>
    <t>Subtotal cuentas por cobrar</t>
  </si>
  <si>
    <t>Alimentación (casas asistenciales)</t>
  </si>
  <si>
    <t>Devolución de ingresos institucionales</t>
  </si>
  <si>
    <t>Dirección de Control de Bienes e Inventarios</t>
  </si>
  <si>
    <t>Escuela Preparatoria Central Diurna</t>
  </si>
  <si>
    <t>UAS Colegiaturas La Cruz</t>
  </si>
  <si>
    <t>Coord. General Zona Centro B</t>
  </si>
  <si>
    <t>Fideicomiso Fondo de Equidad 2005</t>
  </si>
  <si>
    <t>Fideicomiso PIFI  3.2</t>
  </si>
  <si>
    <t>2000923-000</t>
  </si>
  <si>
    <t>2000924-000</t>
  </si>
  <si>
    <t>Publicaciones</t>
  </si>
  <si>
    <t>Escuela Preparatoria Guamúchil</t>
  </si>
  <si>
    <t>Escuela de Idiomas Guamúchil</t>
  </si>
  <si>
    <t>Jardín de Niños</t>
  </si>
  <si>
    <t>Difusión</t>
  </si>
  <si>
    <t>Liquidación por renuncia voluntaria</t>
  </si>
  <si>
    <t>MAS:</t>
  </si>
  <si>
    <t>INGRESOS DEL PERIODO:</t>
  </si>
  <si>
    <t>MENOS:</t>
  </si>
  <si>
    <t>EGRESOS DEL PERIODO:</t>
  </si>
  <si>
    <t>$</t>
  </si>
  <si>
    <t>UNIVERSIDAD AUTONOMA DE SINALOA</t>
  </si>
  <si>
    <t>RELACION DE INGRESOS POR SUBSIDIOS</t>
  </si>
  <si>
    <t>ANALISIS DE INGRESOS POR SUBSIDIOS</t>
  </si>
  <si>
    <t>RELACION DE INGRESOS PROPIOS</t>
  </si>
  <si>
    <t>RELACION DE OTROS TIPOS DE INGRESOS PROPIOS</t>
  </si>
  <si>
    <t>RELACION DE OTROS INGRESOS</t>
  </si>
  <si>
    <t>ANALISIS DE INGRESOS POR PROYECTOS ESPECIALES</t>
  </si>
  <si>
    <t>RELACION DE PAGOS POR SERVICIOS PERSONALES</t>
  </si>
  <si>
    <t>RELACION DE PAGOS POR MATERIALES DE CONSUMO</t>
  </si>
  <si>
    <t>RELACION DE PAGOS POR SERVICIOS GENERALES</t>
  </si>
  <si>
    <t>RELACION DE PARTIDAS POR COMPROBAR GASTO OPERATIVO</t>
  </si>
  <si>
    <t>RELACION DE PARTIDAS POR COMPROBAR VIATICOS</t>
  </si>
  <si>
    <t>RELACION DE PARTIDAS POR COMPROBAR A CUENTA DE INGRESOS PROPIOS</t>
  </si>
  <si>
    <t>RELACION DE PARTIDAS POR COMPROBAR DONATIVOS</t>
  </si>
  <si>
    <t>RELACION DE PARTIDAS POR COMPROBAR GASTO ETIQUETADO</t>
  </si>
  <si>
    <t>Escuela de Artes Plásticas</t>
  </si>
  <si>
    <t>Becas a estudiantes</t>
  </si>
  <si>
    <t>Servicios varios</t>
  </si>
  <si>
    <t>Específico</t>
  </si>
  <si>
    <t>Subsidio Federal Específico</t>
  </si>
  <si>
    <t>Infonavit</t>
  </si>
  <si>
    <t>Retiro</t>
  </si>
  <si>
    <t>IMSS patronal</t>
  </si>
  <si>
    <t>Facultad de Informática Mazatlán</t>
  </si>
  <si>
    <t>Secretaría de Administración y Finanzas</t>
  </si>
  <si>
    <t>100957-1</t>
  </si>
  <si>
    <t>Fideicomiso Reserva. P/Problemas Estructurales</t>
  </si>
  <si>
    <t>6150-01-85</t>
  </si>
  <si>
    <t>Incapacidades</t>
  </si>
  <si>
    <t>Unidad Académica de Negocios</t>
  </si>
  <si>
    <t>Inversión Creciente (Ingresos especiales)</t>
  </si>
  <si>
    <t>Igualas fideicomiso jubilación</t>
  </si>
  <si>
    <t>Aportación al fideicomiso para la jubilación dinámica</t>
  </si>
  <si>
    <t>Escuela Superior de Enfermería Mazatlán</t>
  </si>
  <si>
    <t>Escuela Preparatoria Guasave Nocturna</t>
  </si>
  <si>
    <t>Fideicomiso Prima de Antig.x Jubilación</t>
  </si>
  <si>
    <t>Fideicomiso Primas de Antigüedad por Jubilación</t>
  </si>
  <si>
    <t>2001429-000</t>
  </si>
  <si>
    <t>Dirección del Sistema de Gestión de la Calidad</t>
  </si>
  <si>
    <t>2001449-001</t>
  </si>
  <si>
    <t>Fideicomiso Gasto de Operación</t>
  </si>
  <si>
    <t>Dirección de Imprenta Universitaria</t>
  </si>
  <si>
    <t>Indemnizaciones</t>
  </si>
  <si>
    <t>Fideicomiso Gastos de Administración</t>
  </si>
  <si>
    <t>6)</t>
  </si>
  <si>
    <t>Cambios bancarios</t>
  </si>
  <si>
    <t>F-403337-9</t>
  </si>
  <si>
    <t>Facultad de Ciencias de la Educación</t>
  </si>
  <si>
    <t>Escuela Preparatoria Semiescolarizada</t>
  </si>
  <si>
    <t xml:space="preserve">Provisiones Fideicomiso para la Jubilación </t>
  </si>
  <si>
    <t xml:space="preserve">Rendimientos Fideicomiso para la Jubilación </t>
  </si>
  <si>
    <t xml:space="preserve">Comisiones Fideicomiso para la Jubilación </t>
  </si>
  <si>
    <t>Facultad de Ciencias Económicas y Sociales</t>
  </si>
  <si>
    <t>Cuenta Puente Fideicomiso F-403337-9</t>
  </si>
  <si>
    <t>Equipo de transporte</t>
  </si>
  <si>
    <t>Mobiliario y equipo</t>
  </si>
  <si>
    <t>Seguro de vida académicos</t>
  </si>
  <si>
    <t>Facultad de Medicina</t>
  </si>
  <si>
    <t>Secretaría Administrativa</t>
  </si>
  <si>
    <t>Dirección Académico Legal</t>
  </si>
  <si>
    <t>Dirección General de Servicios Escolares</t>
  </si>
  <si>
    <t>Coord. General de Extensión Cultural y los Servicios</t>
  </si>
  <si>
    <t>Dir.de Servicios Asistenciales Estudiantiles Zona Centro</t>
  </si>
  <si>
    <t>Facultad de Odontología</t>
  </si>
  <si>
    <t>Facultad de Trabajo Social</t>
  </si>
  <si>
    <t>Escuela Superior de Enfermería Mochis</t>
  </si>
  <si>
    <t>Facultad de Trabajo Social Los Mochis</t>
  </si>
  <si>
    <t>Facultad de Trabajo Social Mazatlán</t>
  </si>
  <si>
    <t>Facultad de Psicología</t>
  </si>
  <si>
    <t>Facultad de Derecho Culiacán</t>
  </si>
  <si>
    <t>Escuela Superior de Educación Física</t>
  </si>
  <si>
    <t>Facultad de Informática Culiacán</t>
  </si>
  <si>
    <t>Facultad de Derecho y Ciencia Política</t>
  </si>
  <si>
    <t>Escuela de Ingeniería Mochis</t>
  </si>
  <si>
    <t>Escuela Preparatoria Valle del Carrizo</t>
  </si>
  <si>
    <t>00613852041</t>
  </si>
  <si>
    <t>00613852023</t>
  </si>
  <si>
    <t>Centro de Idiomas Navolato</t>
  </si>
  <si>
    <t>Facultad de Arquitectura Culiacán</t>
  </si>
  <si>
    <t>Escuela de Ciencias de la Tierra</t>
  </si>
  <si>
    <t>RELACION DE PARTIDAS POR COMPROBAR</t>
  </si>
  <si>
    <t>Depto.de Control de Becas al Desempeño Académico</t>
  </si>
  <si>
    <t>SUNTUAS Administrativo</t>
  </si>
  <si>
    <t>Escuela Preparatoria Vladimir I. Lenin</t>
  </si>
  <si>
    <t>Aguinaldo</t>
  </si>
  <si>
    <t>Escuela Preparatoria Escuinapa</t>
  </si>
  <si>
    <t>Iguala por cuotas sindicales</t>
  </si>
  <si>
    <t>Dirección de Actividades Artísticas</t>
  </si>
  <si>
    <t>UAS FAFEF 2008</t>
  </si>
  <si>
    <t>Banco del Bajío</t>
  </si>
  <si>
    <t>Fideicomiso UAS Minera Cosalá</t>
  </si>
  <si>
    <t>Subtotal adquisiciones y otros</t>
  </si>
  <si>
    <t>Souvenirs, uniformes y artículos varios</t>
  </si>
  <si>
    <t>Escuela de Ciencias Físico Matemáticas</t>
  </si>
  <si>
    <t>Escuela de Filosofía y Letras</t>
  </si>
  <si>
    <t>UAS FAFEF 2010</t>
  </si>
  <si>
    <t>UAS Ingresos referenciados</t>
  </si>
  <si>
    <t>Dirección de Promoción Financiera</t>
  </si>
  <si>
    <t>Representación de la UAS en México</t>
  </si>
  <si>
    <t>SECRETARIA DE ADMINISTRACION Y FINANZAS</t>
  </si>
  <si>
    <t>DE ANEXO</t>
  </si>
  <si>
    <t xml:space="preserve">S   u   b   c   u   e   n   t   a </t>
  </si>
  <si>
    <t>Cesantía y vejez</t>
  </si>
  <si>
    <t xml:space="preserve">Escuela Preparatoria 8 de Julio </t>
  </si>
  <si>
    <t>Esc.Superior de Agricultura del Valle del Fuerte</t>
  </si>
  <si>
    <t>*Apertura de Cuenta y Fideicomiso para la Jubilación de Trabs. Acads.  y Admvos. (23 Abril de 2008)</t>
  </si>
  <si>
    <t>Acreedores Diversos</t>
  </si>
  <si>
    <t>Subtotal cuentas por cobrar, adquisiciones y otros</t>
  </si>
  <si>
    <t>Fideicomiso p/la Jubilación de Trab. Acad. y Admvos.</t>
  </si>
  <si>
    <t>ESTADO DE FLUJO DE EFECTIVO POR EL PERIODO COMPRENDIDO</t>
  </si>
  <si>
    <t>Inversiones UAS Minera de Cosalá</t>
  </si>
  <si>
    <t>Unidad Académica de Nutrición y Gastronomía</t>
  </si>
  <si>
    <t>Escuela Superior de Enfermería Culiacán</t>
  </si>
  <si>
    <t>Casa de la Cultura CEUDIC</t>
  </si>
  <si>
    <t>UAS Consolidación 2010</t>
  </si>
  <si>
    <t>UAS Saneamiento 2010</t>
  </si>
  <si>
    <t>Seguros y fianzas</t>
  </si>
  <si>
    <t>Prima vacacional</t>
  </si>
  <si>
    <t>7)</t>
  </si>
  <si>
    <t>8)</t>
  </si>
  <si>
    <t>Fideicomiso Minera Cosalá</t>
  </si>
  <si>
    <t>Cuotas sindicato</t>
  </si>
  <si>
    <t>Cuotas generales</t>
  </si>
  <si>
    <t>Subtotal</t>
  </si>
  <si>
    <r>
      <t>1)</t>
    </r>
    <r>
      <rPr>
        <sz val="9"/>
        <rFont val="Arial"/>
        <family val="2"/>
      </rPr>
      <t xml:space="preserve"> Se analiza detalladamente en el anexo </t>
    </r>
    <r>
      <rPr>
        <b/>
        <sz val="9"/>
        <rFont val="Arial"/>
        <family val="2"/>
      </rPr>
      <t>IV-1.</t>
    </r>
  </si>
  <si>
    <r>
      <t>1)</t>
    </r>
    <r>
      <rPr>
        <sz val="8"/>
        <rFont val="Arial"/>
        <family val="2"/>
      </rPr>
      <t xml:space="preserve"> Cuentas de pasivo incluidas en la relación de pagos por servicios personales, por representar salidas de efectivo.</t>
    </r>
  </si>
  <si>
    <t>Partidas por comp. a cuenta de ingresos propios</t>
  </si>
  <si>
    <t>Escuela de Estudios Intern.y Políticas Públicas</t>
  </si>
  <si>
    <t>Escuela de Admón. Agrop. y Desarrollo Rural</t>
  </si>
  <si>
    <t>Escuela de Contabilidad y Admón. Mazatlán</t>
  </si>
  <si>
    <t>Escuela Preparatoria Dr. Salvador Allende</t>
  </si>
  <si>
    <t>Escuela Preparatoria C.U. Los Mochis</t>
  </si>
  <si>
    <t>INTEGRACION DE INGRESOS POR SUBSIDIOS</t>
  </si>
  <si>
    <t>Total Subsidio Federal Ordinario</t>
  </si>
  <si>
    <t>Total Subsidio Federal Específico</t>
  </si>
  <si>
    <t xml:space="preserve"> - Subsidio federal ordinario </t>
  </si>
  <si>
    <t xml:space="preserve"> - Complemento de subsidio federal ordinario</t>
  </si>
  <si>
    <t xml:space="preserve"> - Subsidio estatal ordinario</t>
  </si>
  <si>
    <t xml:space="preserve"> - Subsidio estatal por apoyo unilateral </t>
  </si>
  <si>
    <t xml:space="preserve"> - Subsidio estatal por saneamiento financiero UAS (FAFEF)</t>
  </si>
  <si>
    <t>Subsidios Federales</t>
  </si>
  <si>
    <t>Subsidios Estatales</t>
  </si>
  <si>
    <t>Anexo I-2</t>
  </si>
  <si>
    <t xml:space="preserve">     65501761036 de Santander Serfin.</t>
  </si>
  <si>
    <r>
      <t xml:space="preserve">1.- </t>
    </r>
    <r>
      <rPr>
        <sz val="8"/>
        <rFont val="Arial"/>
        <family val="2"/>
      </rPr>
      <t xml:space="preserve">Corresponde a recursos en efectivo bajo resguardo de Caja General, serán depositados en la cuenta de ingresos </t>
    </r>
  </si>
  <si>
    <r>
      <t xml:space="preserve">2.- </t>
    </r>
    <r>
      <rPr>
        <sz val="8"/>
        <rFont val="Arial"/>
        <family val="2"/>
      </rPr>
      <t>Cuenta bancaria de la administración 2001-2005, se encuentra bloqueada por el INFONAVIT.</t>
    </r>
  </si>
  <si>
    <r>
      <t xml:space="preserve">3.- </t>
    </r>
    <r>
      <rPr>
        <sz val="8"/>
        <rFont val="Arial"/>
        <family val="2"/>
      </rPr>
      <t xml:space="preserve">Cuentas bancarias de la administración 2005-2009, reflejan saldo negativo por elaboración y entrega de cheques  </t>
    </r>
  </si>
  <si>
    <t xml:space="preserve">      los cuales no han sido cobrados.</t>
  </si>
  <si>
    <t>UAS CUPIA 2010</t>
  </si>
  <si>
    <t>9)</t>
  </si>
  <si>
    <t>Escuela Preparatoria 02 de Octubre</t>
  </si>
  <si>
    <t>Cuotas y suscripciones</t>
  </si>
  <si>
    <t>Fideicomiso PIFI FOMES 2010</t>
  </si>
  <si>
    <t>Fideicomiso PIFI FIUPEA 2010</t>
  </si>
  <si>
    <t>Dir.Gral.de Vinculación y Relaciones Internacionales</t>
  </si>
  <si>
    <t>Seguro de vida colectivo administrativos</t>
  </si>
  <si>
    <t>Uniformes y accesorios</t>
  </si>
  <si>
    <t>Internet</t>
  </si>
  <si>
    <t>UAS Consejo Nacional para la Cultura y las Artes</t>
  </si>
  <si>
    <t>00652180716</t>
  </si>
  <si>
    <t>Torre Académica Mazatlán</t>
  </si>
  <si>
    <t>Centro de Investig.y Doc.en Ciencias de la Salud</t>
  </si>
  <si>
    <t>Total Subsidio Estatal Ordinario</t>
  </si>
  <si>
    <t>RELACION DE PARTIDAS POR COMPROBAR "PROFAPI"</t>
  </si>
  <si>
    <t>Partidas por comprobar "PROFAPI"</t>
  </si>
  <si>
    <t>Anexo VIII-6</t>
  </si>
  <si>
    <t>Fideicomiso FAM 2010</t>
  </si>
  <si>
    <t>Secretaría Académica Universitaria</t>
  </si>
  <si>
    <t>Alberca Olímpica</t>
  </si>
  <si>
    <t>Estímulo al desempeño académico</t>
  </si>
  <si>
    <t>Apoyo cartera educación sindical</t>
  </si>
  <si>
    <t>Excedente de Ing. y/o Egresos de Ejerc. anteriores</t>
  </si>
  <si>
    <t>Otros arrendamientos</t>
  </si>
  <si>
    <t>2001857-001</t>
  </si>
  <si>
    <t>UAS Incremento Matrícula</t>
  </si>
  <si>
    <t>UAS Oferta Educativa</t>
  </si>
  <si>
    <t>UAS Reconocimiento de Plantilla</t>
  </si>
  <si>
    <t>UAS Reformas Estructurales</t>
  </si>
  <si>
    <t>UAS FAFEF 2011</t>
  </si>
  <si>
    <t>Escuela Preparatoria Rafael Buelna Tenorio</t>
  </si>
  <si>
    <t>Venta de libros y digestos</t>
  </si>
  <si>
    <t>Cooperaciones varias</t>
  </si>
  <si>
    <t>IVA acreditable</t>
  </si>
  <si>
    <t>Facultad de Ingeniería Mochis</t>
  </si>
  <si>
    <t>Donativos en efectivo para la institución</t>
  </si>
  <si>
    <t>UAS Saneamiento Financiero 2011</t>
  </si>
  <si>
    <t>IVA Trasladado</t>
  </si>
  <si>
    <t>Subsidio Estatal Extraordinario</t>
  </si>
  <si>
    <t>Certificaciones</t>
  </si>
  <si>
    <t>Depósitos indebidos</t>
  </si>
  <si>
    <t xml:space="preserve"> - Pago de estimaciones varias de recursos FAM 2010</t>
  </si>
  <si>
    <t>Extraordinario</t>
  </si>
  <si>
    <t>10)</t>
  </si>
  <si>
    <t>Depto. de Difusión Cultural y Extensión Zona Sur</t>
  </si>
  <si>
    <t>Escuela Preparatoria Casa Blanca Ext. Palos Verdes</t>
  </si>
  <si>
    <t>RELACION DE PARTIDAS POR COMPROBAR  POR PROYECTOS ESPECIALES</t>
  </si>
  <si>
    <t>Anexo VIII-7</t>
  </si>
  <si>
    <r>
      <t>1)</t>
    </r>
    <r>
      <rPr>
        <sz val="9"/>
        <rFont val="Arial"/>
        <family val="2"/>
      </rPr>
      <t xml:space="preserve"> Este anexo se analiza detalladamente en los anexos </t>
    </r>
    <r>
      <rPr>
        <b/>
        <sz val="9"/>
        <rFont val="Arial"/>
        <family val="2"/>
      </rPr>
      <t>VIII-1</t>
    </r>
    <r>
      <rPr>
        <sz val="9"/>
        <rFont val="Arial"/>
        <family val="2"/>
      </rPr>
      <t xml:space="preserve"> al </t>
    </r>
    <r>
      <rPr>
        <b/>
        <sz val="9"/>
        <rFont val="Arial"/>
        <family val="2"/>
      </rPr>
      <t>VIII-7.</t>
    </r>
  </si>
  <si>
    <t>Subsidio Federal Extraordinario</t>
  </si>
  <si>
    <t>Total Subsidio Federal Extraordinario</t>
  </si>
  <si>
    <t>Dirección General de Educación Superior</t>
  </si>
  <si>
    <t>UAS Problemas Estructurales 2011</t>
  </si>
  <si>
    <t>Inversión PRLV* (Inversiones)</t>
  </si>
  <si>
    <t>11)</t>
  </si>
  <si>
    <t>Depto. de la Comisión Permanente de Postulación</t>
  </si>
  <si>
    <t>SALDO EN BANCOS E INVERSIONES AL 31 DE OCTUBRE DE 2011</t>
  </si>
  <si>
    <r>
      <t>9.</t>
    </r>
    <r>
      <rPr>
        <sz val="8"/>
        <rFont val="Arial"/>
        <family val="2"/>
      </rPr>
      <t xml:space="preserve">- Se presenta con carácter informativo, no pertenece a la UAS.  </t>
    </r>
  </si>
  <si>
    <r>
      <t>8.</t>
    </r>
    <r>
      <rPr>
        <sz val="8"/>
        <rFont val="Arial"/>
        <family val="2"/>
      </rPr>
      <t xml:space="preserve">- Agrupa los saldos de los Fideicomisos 2000923-010 y 011, ambos corresponden al Fondo PIFI.  </t>
    </r>
  </si>
  <si>
    <r>
      <t>5.-</t>
    </r>
    <r>
      <rPr>
        <sz val="8"/>
        <rFont val="Arial"/>
        <family val="2"/>
      </rPr>
      <t xml:space="preserve"> Cuenta en dolares, equivale a $  1,306.41 dlls. al tipo de cambio de $ 13.18 pesos.</t>
    </r>
  </si>
  <si>
    <r>
      <t>6.</t>
    </r>
    <r>
      <rPr>
        <sz val="8"/>
        <rFont val="Arial"/>
        <family val="2"/>
      </rPr>
      <t xml:space="preserve">- Cuenta en dolares, equivale a $ 68,382.70 dlls. al tipo de cambio de $ 13.18 pesos.  </t>
    </r>
  </si>
  <si>
    <t xml:space="preserve">       y $ 784,590.54 pesos mexicanos.  </t>
  </si>
  <si>
    <t>Fondo Mixto Conacyt Gobierno del Estado de Sinaloa</t>
  </si>
  <si>
    <t>Secretaría de Desarrollo Social Delegación Sinaloa</t>
  </si>
  <si>
    <t>Fondo Sectorial de Investigación para la Educación</t>
  </si>
  <si>
    <t xml:space="preserve"> - Subsidio federal extraordinario correspondiente a 2011</t>
  </si>
  <si>
    <t>Instituto Municipal de las Mujeres de Culiacán, Sinaloa</t>
  </si>
  <si>
    <t>Fundación Produce Sinaloa, A.C. </t>
  </si>
  <si>
    <t>Semillas y Agroproductos Monsanto, S.A. de C.V. </t>
  </si>
  <si>
    <t>Minera Cosalá, S.A. de C.V. </t>
  </si>
  <si>
    <t>Trasp. bancarios por liquidez (Sueldos)</t>
  </si>
  <si>
    <t>Trasp. bancarios por liquidez (Carrera docente)</t>
  </si>
  <si>
    <t>Trasp. bancarios por liquidez (Programa de retención)</t>
  </si>
  <si>
    <t>Devolución de depósitos indebidos</t>
  </si>
  <si>
    <t>Acreditación y certificación</t>
  </si>
  <si>
    <t>Dir. Gral. de Vinculación y Relaciones Internacionales</t>
  </si>
  <si>
    <t>Facultad de Contaduría y Admón. Cul. Ext. Navolato</t>
  </si>
  <si>
    <t>Centro de Políticas de Género</t>
  </si>
  <si>
    <t>Centro de Cómputo Mazatlán</t>
  </si>
  <si>
    <t>UAS Control 2005</t>
  </si>
  <si>
    <t>UAS Control 2009</t>
  </si>
  <si>
    <t>UAS Fondo de Equidad 2005</t>
  </si>
  <si>
    <t>UAS Ingresos Especiales</t>
  </si>
  <si>
    <t>UAS Prima de Antigüedad por Jubilación</t>
  </si>
  <si>
    <r>
      <t xml:space="preserve">4.- </t>
    </r>
    <r>
      <rPr>
        <sz val="8"/>
        <rFont val="Arial"/>
        <family val="2"/>
      </rPr>
      <t xml:space="preserve">Se refleja saldo negativo por elaboración de cheques al día 31 de Octubre de 2011, se encuentran en tránsito  y se </t>
    </r>
  </si>
  <si>
    <t xml:space="preserve">      entregan en fechas posteriores para su cobro o se procede a su cancelación.</t>
  </si>
  <si>
    <r>
      <t>7.</t>
    </r>
    <r>
      <rPr>
        <sz val="8"/>
        <rFont val="Arial"/>
        <family val="2"/>
      </rPr>
      <t xml:space="preserve">- Cuenta en dolares, equivale a $ 146,707.61 dlls. al tipo de cambio de $ 13.18 pesos, menos depósitos de $ 854,555.52 </t>
    </r>
  </si>
  <si>
    <t xml:space="preserve">     de alto valor nutricional/nutracéutico a partir del amaranto en la zona centro de Sinaloa".</t>
  </si>
  <si>
    <t xml:space="preserve">      efectividad biológica del maíz MON-00603-6 y efectividad biológica del maíz MON-89034 X MON-88017".</t>
  </si>
  <si>
    <t>Partidas por comprobar por proyectos especiales</t>
  </si>
  <si>
    <t>Saldo</t>
  </si>
  <si>
    <t xml:space="preserve">      para la elaboración de bebidas de alto valor nutricional/nutracéutico, elaboradas a partir de granos producidos en Sinaloa".</t>
  </si>
  <si>
    <t xml:space="preserve"> - Subsidio federal extraordinario del fondo para la atención a</t>
  </si>
  <si>
    <t xml:space="preserve">   problemas estructurales de las UPES</t>
  </si>
  <si>
    <t xml:space="preserve"> - Subsidio federal extraordinario del fondo para elevar la calidad </t>
  </si>
  <si>
    <t xml:space="preserve"> DEL 01 DE NOVIEMBRE DE 2011 AL 31 DE ENERO DE 2012</t>
  </si>
  <si>
    <t>Noviembre</t>
  </si>
  <si>
    <t>Diciembre</t>
  </si>
  <si>
    <t>Enero</t>
  </si>
  <si>
    <t>DEL 01 DE NOVIEMBRE DE 2011 AL 31 DE ENERO DE 2012</t>
  </si>
  <si>
    <t>Actualizaciones</t>
  </si>
  <si>
    <t>Donativos</t>
  </si>
  <si>
    <t>Recargos y multas</t>
  </si>
  <si>
    <t>Artículos y materiales procesamiento de datos</t>
  </si>
  <si>
    <t>Anticipos de jubilación</t>
  </si>
  <si>
    <t>Venta de aves, ganado y plantas</t>
  </si>
  <si>
    <t>UAS Elevar la Calidad Educativa 2011</t>
  </si>
  <si>
    <t>UAS Ampliar y Diversificar la Oferta Educativa 2011</t>
  </si>
  <si>
    <t>Coordinación General de PROMEP</t>
  </si>
  <si>
    <t>Facultad de Psicología Semiescolarizada</t>
  </si>
  <si>
    <t>Escuela Preparatoria Choix</t>
  </si>
  <si>
    <t>Escuela Preparatoria Guasave Nocturna Ext. Nio</t>
  </si>
  <si>
    <t xml:space="preserve">   de la educación superior de las UPES 2012</t>
  </si>
  <si>
    <t xml:space="preserve"> - Subsidio federal extraordinario del programa integral de </t>
  </si>
  <si>
    <t xml:space="preserve">   fortalecimiento institucional (PIFI 2011).</t>
  </si>
  <si>
    <t xml:space="preserve"> - Subsidio federal extraordinario del fondo para ampliar y</t>
  </si>
  <si>
    <t xml:space="preserve">   diversificar la oferta educativa en educación superior</t>
  </si>
  <si>
    <t xml:space="preserve"> - Subsidio estatal extraordinario 50% de adeudo del fondo para</t>
  </si>
  <si>
    <t xml:space="preserve">  incremento de la matrícula en educación superior de las UPES</t>
  </si>
  <si>
    <t>Escuela Preparatoria 8 de Julio Ext. Gabino B.</t>
  </si>
  <si>
    <t>Facultad de Filosofía y Letras</t>
  </si>
  <si>
    <t>Departamento de Bibliotecas Mazatlán</t>
  </si>
  <si>
    <t>Facultad de Ciencias de la Tierra</t>
  </si>
  <si>
    <t>Trasp. bancarios por liquidez (Aguinaldos)</t>
  </si>
  <si>
    <t>Mant. de equipo de laboratorio</t>
  </si>
  <si>
    <t>Libros, revistas y folletos</t>
  </si>
  <si>
    <t>Carta pasante en cuero</t>
  </si>
  <si>
    <t>Consejo Nacional de Ciencia y Tecnología (CONACYT)</t>
  </si>
  <si>
    <t>Servicio Nacional de Inspección y Certificación de Semillas (SNICS)</t>
  </si>
  <si>
    <t>Fondo de Fomento Agropecuario del Estado de Sinaloa (FOFAE)</t>
  </si>
  <si>
    <t>University of Hawaii Hilo</t>
  </si>
  <si>
    <t>Secretaría de Medio Ambiente y Recursos Naturales (SEMARNAT)</t>
  </si>
  <si>
    <r>
      <t xml:space="preserve">1).- </t>
    </r>
    <r>
      <rPr>
        <sz val="8"/>
        <rFont val="Arial"/>
        <family val="2"/>
      </rPr>
      <t>Tenth transfer of founds subcontract to UAS for Aqua Fish/CRSP--Projet,Human health Impacts and Aquaculture 2009-2011. </t>
    </r>
  </si>
  <si>
    <r>
      <rPr>
        <b/>
        <sz val="8"/>
        <rFont val="Arial"/>
        <family val="2"/>
      </rPr>
      <t>3)</t>
    </r>
    <r>
      <rPr>
        <sz val="8"/>
        <rFont val="Arial"/>
        <family val="2"/>
      </rPr>
      <t>.- Formación docente de 808 beneficiarios atendidos en la quinta generación del diplomado "Competencias docentes en el nivel</t>
    </r>
  </si>
  <si>
    <t xml:space="preserve">      rescate de la zona serrana marginada del noroeste de México". </t>
  </si>
  <si>
    <t xml:space="preserve">    - Tercera ministración del proyecto titulado, "Desarrollo sustentable de la cadena agroindustrial de Jatropha Curcas para el</t>
  </si>
  <si>
    <t xml:space="preserve">    - Eleventh transfer of founds subcontract to UAS for Aqua Fish/CRSP--Projet,Human health Impacts and Aquaculture 2009-11. </t>
  </si>
  <si>
    <r>
      <t xml:space="preserve">    - </t>
    </r>
    <r>
      <rPr>
        <sz val="8"/>
        <rFont val="Arial"/>
        <family val="2"/>
      </rPr>
      <t xml:space="preserve">Tercera ministración para la ejecución del proyecto denominado, "Elaboración del inventario de gases de efecto invernadero </t>
    </r>
  </si>
  <si>
    <t>12)</t>
  </si>
  <si>
    <t>13)</t>
  </si>
  <si>
    <t>14)</t>
  </si>
  <si>
    <t>15)</t>
  </si>
  <si>
    <t>16)</t>
  </si>
  <si>
    <t xml:space="preserve">     con alto potencial nutracéutico elaboradas a partir de granos producidos en Sinaloa".</t>
  </si>
  <si>
    <t>17)</t>
  </si>
  <si>
    <t>18)</t>
  </si>
  <si>
    <t xml:space="preserve">       Señora" del municipio de Cosalá, propiedad de la UAS corresp. a los meses de octubre, noviembre y diciembre de 2011. </t>
  </si>
  <si>
    <t>Donaciones</t>
  </si>
  <si>
    <t>Por venta de equipo de transporte</t>
  </si>
  <si>
    <t>Fideicomiso PIFI FOMES 2011</t>
  </si>
  <si>
    <t>Secretaría de Educación Pública</t>
  </si>
  <si>
    <t>19)</t>
  </si>
  <si>
    <t>Coordinación Académica Zona Sur</t>
  </si>
  <si>
    <t>Cuotas académicas adicionales</t>
  </si>
  <si>
    <t>Exámenes extraordinarios</t>
  </si>
  <si>
    <t>Expedición de constancias</t>
  </si>
  <si>
    <t>Expedición de certificados</t>
  </si>
  <si>
    <t>Validación y equivalencias</t>
  </si>
  <si>
    <t>Credenciales</t>
  </si>
  <si>
    <t>Expedición de título y cédula profesional</t>
  </si>
  <si>
    <t>Asesoría y consultoría</t>
  </si>
  <si>
    <t>Estudios y análisis técnicos</t>
  </si>
  <si>
    <t>Análisis clínicos de laboratorio</t>
  </si>
  <si>
    <t>Consultas médicas y especialidades</t>
  </si>
  <si>
    <t>Consultas y atención profesional</t>
  </si>
  <si>
    <t>Otros servicios y trámites académicos</t>
  </si>
  <si>
    <t>Servicios de impresión y fotocopiado</t>
  </si>
  <si>
    <t>Renta de cafetería</t>
  </si>
  <si>
    <t>Renta de otros espacios</t>
  </si>
  <si>
    <t>Cuota académica por curso, taller y conferencia</t>
  </si>
  <si>
    <t>Cursos, talleres y conferencias</t>
  </si>
  <si>
    <t>Cuota académica por diplomado</t>
  </si>
  <si>
    <t>Cuota académica por simposium, seminario y congreso</t>
  </si>
  <si>
    <t>Otras cuotas de actividades y enseñanzas especiales</t>
  </si>
  <si>
    <t>Gobierno del Estado de Sinaloa</t>
  </si>
  <si>
    <r>
      <t xml:space="preserve">9).- </t>
    </r>
    <r>
      <rPr>
        <sz val="8"/>
        <rFont val="Arial"/>
        <family val="2"/>
      </rPr>
      <t>Segunda ministración del proyecto titulado, "Desarrollo sustentable de la cadena agroindustrial de Jatropha Curcas para el</t>
    </r>
  </si>
  <si>
    <r>
      <t xml:space="preserve">10).- </t>
    </r>
    <r>
      <rPr>
        <sz val="8"/>
        <rFont val="Arial"/>
        <family val="2"/>
      </rPr>
      <t xml:space="preserve">Primera ministración para la ejecución del proyecto denominado, "Elaboración del inventario de gases de efecto invernadero </t>
    </r>
  </si>
  <si>
    <r>
      <t xml:space="preserve">12).- </t>
    </r>
    <r>
      <rPr>
        <sz val="8"/>
        <rFont val="Arial"/>
        <family val="2"/>
      </rPr>
      <t xml:space="preserve">Primera ministración de recursos para el pago de apoyos a prestadores de servicio social, practicantes, profesionales o </t>
    </r>
  </si>
  <si>
    <t>20)</t>
  </si>
  <si>
    <t>21)</t>
  </si>
  <si>
    <t xml:space="preserve">        subprograma "Experimenta", convocatoria 2011, 4 de 6.</t>
  </si>
  <si>
    <t xml:space="preserve">        subprograma "Experimenta", convocatoria 2011, 5 de 6.</t>
  </si>
  <si>
    <t xml:space="preserve">        residencias y estancias profecionales, becas de vinculación, convocatoria 2011, 1 de 2.</t>
  </si>
  <si>
    <t>Ayuda para educación</t>
  </si>
  <si>
    <t>Difusión por radio, televisión y otros medios de mensajes sobre programas y actividades</t>
  </si>
  <si>
    <t>Eventos académicos, culturales y deportivos</t>
  </si>
  <si>
    <t>Defensoría de los Derechos Universitarios</t>
  </si>
  <si>
    <t>Escuela Preparatoria Mazatlán Extensión Piaxtla</t>
  </si>
  <si>
    <t>Escuela de Ciencias Antropológicas</t>
  </si>
  <si>
    <t>Comisiones Mixtas</t>
  </si>
  <si>
    <t>SALDO EN BANCOS E INVERSIONES AL 31 DE ENERO DE 2012</t>
  </si>
  <si>
    <r>
      <t xml:space="preserve">1.- </t>
    </r>
    <r>
      <rPr>
        <sz val="8"/>
        <rFont val="Arial"/>
        <family val="2"/>
      </rPr>
      <t>Cuenta bancaria de la administración 2001-2005, se encuentra bloqueada por el INFONAVIT.</t>
    </r>
  </si>
  <si>
    <r>
      <t xml:space="preserve">2.- </t>
    </r>
    <r>
      <rPr>
        <sz val="8"/>
        <rFont val="Arial"/>
        <family val="2"/>
      </rPr>
      <t xml:space="preserve">Cuentas bancarias de la administración 2005-2009, reflejan saldo negativo por elaboración y entrega de cheques  </t>
    </r>
  </si>
  <si>
    <r>
      <t>7.</t>
    </r>
    <r>
      <rPr>
        <sz val="8"/>
        <rFont val="Arial"/>
        <family val="2"/>
      </rPr>
      <t xml:space="preserve">- Agrupa los saldos de los Fideicomisos 2000923-010 y 011, ambos corresponden al Fondo PIFI.  </t>
    </r>
  </si>
  <si>
    <r>
      <t>8.</t>
    </r>
    <r>
      <rPr>
        <sz val="8"/>
        <rFont val="Arial"/>
        <family val="2"/>
      </rPr>
      <t xml:space="preserve">- Se presenta con carácter informativo, no pertenece a la UAS.  </t>
    </r>
  </si>
  <si>
    <t>Proyecto Institucional de Universidad Virtual</t>
  </si>
  <si>
    <t>Departamento de Deportes Zona Sur</t>
  </si>
  <si>
    <t>Viáticos en el país</t>
  </si>
  <si>
    <t>Sueldo base</t>
  </si>
  <si>
    <t>Anticipo a descuentos retenidos</t>
  </si>
  <si>
    <t>ISR por sueldos</t>
  </si>
  <si>
    <t>ISR retenido 10%</t>
  </si>
  <si>
    <t>IVA retenido 10%</t>
  </si>
  <si>
    <t>Telefonía tradicional</t>
  </si>
  <si>
    <t>Agua</t>
  </si>
  <si>
    <t>Servicios de consultoría administrativa, procesos, técnica y en tecnologías de la información</t>
  </si>
  <si>
    <t>Seguro de bienes patrimoniales</t>
  </si>
  <si>
    <t>Instalación, reparación y mantenimiento de equipo de transporte</t>
  </si>
  <si>
    <t>Servicios de jardinería y fumigación</t>
  </si>
  <si>
    <t>Registro de libro de egresados</t>
  </si>
  <si>
    <t>Venta de alimentos procesados y enlatados</t>
  </si>
  <si>
    <t>Venta de productos de aseo y limpieza</t>
  </si>
  <si>
    <t>Venta de agua purificada</t>
  </si>
  <si>
    <t>Venta de artículos de promociones universitarias</t>
  </si>
  <si>
    <t>Renta de teatro auditorio</t>
  </si>
  <si>
    <t>Renta por servidumbre de paso (Reserva ecológica)</t>
  </si>
  <si>
    <t>Renta de salas de equipo de cómputo</t>
  </si>
  <si>
    <r>
      <t xml:space="preserve">20).- </t>
    </r>
    <r>
      <rPr>
        <sz val="8"/>
        <rFont val="Arial"/>
        <family val="2"/>
      </rPr>
      <t>Ocupación temporal y derechos de servidumbre de paso, por los terrenos de la reserva natural protegida "El Mineral de Nuestra</t>
    </r>
  </si>
  <si>
    <r>
      <t xml:space="preserve">19).- </t>
    </r>
    <r>
      <rPr>
        <sz val="8"/>
        <rFont val="Arial"/>
        <family val="2"/>
      </rPr>
      <t xml:space="preserve">Proyecto titulado "Evaluación agronómica, fenotípica e interacciones ecológicas del maíz MON-89034-3 X MON-88017-3, </t>
    </r>
  </si>
  <si>
    <r>
      <t xml:space="preserve">18).- </t>
    </r>
    <r>
      <rPr>
        <sz val="8"/>
        <rFont val="Arial"/>
        <family val="2"/>
      </rPr>
      <t>Ministración de los meses de sep-dic de 2011 del proyecto: "Desarrollo de harinas precocidas con propiedades adecuadas</t>
    </r>
  </si>
  <si>
    <r>
      <t xml:space="preserve">15).- </t>
    </r>
    <r>
      <rPr>
        <sz val="8"/>
        <rFont val="Arial"/>
        <family val="2"/>
      </rPr>
      <t xml:space="preserve">Pago de segunda etapa de gastos corriente del proyecto de investigación: "Estudio de polimorfismos genéticos en pacientes </t>
    </r>
  </si>
  <si>
    <r>
      <t xml:space="preserve">13).- </t>
    </r>
    <r>
      <rPr>
        <sz val="8"/>
        <rFont val="Arial"/>
        <family val="2"/>
      </rPr>
      <t xml:space="preserve">Actividades de capacitación, asesoría y sistematización proyecto "Para el progreso municipal, Las Mujeres Cuentan"  </t>
    </r>
  </si>
  <si>
    <r>
      <t>4.-</t>
    </r>
    <r>
      <rPr>
        <sz val="8"/>
        <rFont val="Arial"/>
        <family val="2"/>
      </rPr>
      <t xml:space="preserve"> Cuenta en dolares, equivale a $  1,287.85 dlls. al tipo de cambio de $ 13.00 pesos.</t>
    </r>
  </si>
  <si>
    <r>
      <t>5.</t>
    </r>
    <r>
      <rPr>
        <sz val="8"/>
        <rFont val="Arial"/>
        <family val="2"/>
      </rPr>
      <t xml:space="preserve">- Cuenta en dolares, equivale a $ 68,375.74 dlls. al tipo de cambio de $ 13.00 pesos.  </t>
    </r>
  </si>
  <si>
    <r>
      <t>6.</t>
    </r>
    <r>
      <rPr>
        <sz val="8"/>
        <rFont val="Arial"/>
        <family val="2"/>
      </rPr>
      <t>- Cuenta en dolares, equivale a $ 92,809.89 dlls. al tipo de cambio de $ 13.00 pesos.</t>
    </r>
  </si>
  <si>
    <t>Consultas dentales y especialidades</t>
  </si>
  <si>
    <t>Cuota alberca olímpica</t>
  </si>
  <si>
    <t>Asociación Nacional de Universidades e Instituciones de Educación Superior de la República Mexicana, A.C.</t>
  </si>
  <si>
    <t>Universidad Autónoma de Chapingo</t>
  </si>
  <si>
    <t>Fondo Institucional de CONACYT (FOINS)</t>
  </si>
  <si>
    <t>Consejo para el Desarrollo Económico de Sinaloa</t>
  </si>
  <si>
    <t>Instituto Nacional de Investig. Forestales, Agrícolas y Pecuarias</t>
  </si>
  <si>
    <t>Municipio de Bahía de Banderas, Nayarit</t>
  </si>
  <si>
    <t>Fundación Educación Superior Empresa, A.C.</t>
  </si>
  <si>
    <t>Material didáctico (libros, revistas y otros)</t>
  </si>
  <si>
    <t>Programa retención personal académico convenio</t>
  </si>
  <si>
    <t>Coordinación General de Asesores</t>
  </si>
  <si>
    <t>Centro de Investig. y Docencia en Ciencias de la Salud</t>
  </si>
  <si>
    <t>Dir. Gral.de Vinculación y Relaciones Internacionales</t>
  </si>
  <si>
    <t>Facultad de Estudios Intern. y Políticas Públicas</t>
  </si>
  <si>
    <t>Fideicomiso Reserva P/Problemas Estructurales</t>
  </si>
  <si>
    <r>
      <t xml:space="preserve">3.- </t>
    </r>
    <r>
      <rPr>
        <sz val="8"/>
        <rFont val="Arial"/>
        <family val="2"/>
      </rPr>
      <t xml:space="preserve">Se refleja saldo negativo por elaboración de cheques al día 31 de Enero de 2012, se encuentran en tránsito  y se </t>
    </r>
  </si>
  <si>
    <t>Cuentas por Cobrar</t>
  </si>
  <si>
    <t>Adquisiciones y Otros</t>
  </si>
  <si>
    <t>Cuentas por Pagar</t>
  </si>
  <si>
    <t>Transpasos Bancarios</t>
  </si>
  <si>
    <t xml:space="preserve">   - Realización del proyecto "Aplicación de los protocolos de actuación para la elaboración de un programa Estatal de prevención </t>
  </si>
  <si>
    <t xml:space="preserve">     de la violencia de genero, la atención de mujeres víctimas de violencia de genero ante las instancias de justicia, la intervención </t>
  </si>
  <si>
    <t xml:space="preserve">     con agresores de mujeres y de contención emocional para personal que atiende mujeres victimas de violencia 2011-2012.</t>
  </si>
  <si>
    <r>
      <t xml:space="preserve">2).- </t>
    </r>
    <r>
      <rPr>
        <sz val="8"/>
        <rFont val="Arial"/>
        <family val="2"/>
      </rPr>
      <t>Apoyo complementario para el XIX Congreso Nacional de Parasitología (CONAPAR 2011). </t>
    </r>
  </si>
  <si>
    <t xml:space="preserve">      medio superior" correspondiente al pago del 50% del monto total.</t>
  </si>
  <si>
    <r>
      <t xml:space="preserve">4).- </t>
    </r>
    <r>
      <rPr>
        <sz val="8"/>
        <rFont val="Arial"/>
        <family val="2"/>
      </rPr>
      <t>50% de apoyo económico para desarrollo de proyecto de investigación titulado "Conservación, uso sostenible y fortalecimiento</t>
    </r>
  </si>
  <si>
    <r>
      <t xml:space="preserve">      de capacidades sobre recursos fitogenéticos para la alimentación y la agricultura en la red de maíz".</t>
    </r>
    <r>
      <rPr>
        <sz val="10"/>
        <rFont val="Arial"/>
        <family val="2"/>
      </rPr>
      <t> </t>
    </r>
  </si>
  <si>
    <r>
      <t xml:space="preserve">5).- </t>
    </r>
    <r>
      <rPr>
        <sz val="8"/>
        <rFont val="Arial"/>
        <family val="2"/>
      </rPr>
      <t>Primera ministración para la realización del proyecto: "Estudio técnico socioeconómico para determinar la pertinencia de la</t>
    </r>
  </si>
  <si>
    <t xml:space="preserve">     - Primera ministración para la realización del proyecto: "Estudio técnico socioeconómico para determinar la pertinencia de la</t>
  </si>
  <si>
    <t xml:space="preserve">      creación del municipio de Eldorado".</t>
  </si>
  <si>
    <t xml:space="preserve">      creación del municipio de Juan José Rios".</t>
  </si>
  <si>
    <r>
      <t xml:space="preserve">6).- </t>
    </r>
    <r>
      <rPr>
        <sz val="8"/>
        <rFont val="Arial"/>
        <family val="2"/>
      </rPr>
      <t xml:space="preserve">Pago de tercera ministración del proyecto de investigación denominado "Maestría en docencia de las ciencias básicas, campo </t>
    </r>
  </si>
  <si>
    <t xml:space="preserve">      formativo de las matemáticas y ciencias naturales.</t>
  </si>
  <si>
    <t xml:space="preserve">    - Pago de la cuarta ministración del proyecto de investigación denominado "Maestría en docencia de las ciencias básicas, campo </t>
  </si>
  <si>
    <r>
      <t xml:space="preserve">7).- </t>
    </r>
    <r>
      <rPr>
        <sz val="8"/>
        <rFont val="Arial"/>
        <family val="2"/>
      </rPr>
      <t xml:space="preserve">Apoyo económico para el desarrollo del proyecto denominado "Participación ciudadana y representación política en gobiernos </t>
    </r>
  </si>
  <si>
    <t xml:space="preserve">      locales sinaloenses (2002-2007) de la convocatoria 2009.</t>
  </si>
  <si>
    <t xml:space="preserve">      competencias a PSP-, la supervisión y seguimiento de la calidad de los servicios personales.</t>
  </si>
  <si>
    <r>
      <t xml:space="preserve">8).- </t>
    </r>
    <r>
      <rPr>
        <sz val="8"/>
        <rFont val="Arial"/>
        <family val="2"/>
      </rPr>
      <t>Primera ministración correspondiente al 50% del total, para la formación, capacitación, acreditación, certificación de</t>
    </r>
  </si>
  <si>
    <t xml:space="preserve">      del Estado de Sinaloa" Convenio INE/PS-064/2011.</t>
  </si>
  <si>
    <r>
      <t xml:space="preserve">11).- </t>
    </r>
    <r>
      <rPr>
        <sz val="8"/>
        <rFont val="Arial"/>
        <family val="2"/>
      </rPr>
      <t xml:space="preserve">Proyecto titulado, "Distribución geográfica y caracterización molecular de fusarium spp en el centro-sur de Sinaloa y respuesta </t>
    </r>
  </si>
  <si>
    <t xml:space="preserve">       de variedades de maíz al ataque de este patógeno".</t>
  </si>
  <si>
    <t xml:space="preserve">       docentes y adquisición de material para el desarrollo de los proyectos enmarcados en el programa de estancias infantiles</t>
  </si>
  <si>
    <t xml:space="preserve">       para apoyar a madres trabajadores 2011.</t>
  </si>
  <si>
    <t xml:space="preserve">       desarrollado por el Centro de Políticas de Género.</t>
  </si>
  <si>
    <t xml:space="preserve">       de la zona federal marítimo terrestre del municipio de Bahía de Banderas Nayarit".</t>
  </si>
  <si>
    <r>
      <t xml:space="preserve">14).- </t>
    </r>
    <r>
      <rPr>
        <sz val="8"/>
        <rFont val="Arial"/>
        <family val="2"/>
      </rPr>
      <t xml:space="preserve">Ministración de recursos para el desarrollo del proyecto de investigación "Censo ocupacional y levantamiento del padrón </t>
    </r>
  </si>
  <si>
    <t xml:space="preserve">        con lepra e individuos sanos de la población sinaloense".</t>
  </si>
  <si>
    <r>
      <t xml:space="preserve">17).- </t>
    </r>
    <r>
      <rPr>
        <sz val="8"/>
        <rFont val="Arial"/>
        <family val="2"/>
      </rPr>
      <t>Apoyo económico para el desarrollo del proyecto de investigación titulado "Manejo integral del agroecosistema en Sinaloa".</t>
    </r>
  </si>
  <si>
    <t xml:space="preserve">    - Ministración de los meses de sep-dic de 2011 del proyecto de investigación "Desarrollo de nuevos productos alimenticios </t>
  </si>
  <si>
    <t xml:space="preserve">    - Ministración de los meses de sep-dic de 2011 del proyecto "Evaluación de la capacidad anthipertensiva de harinas precocidas </t>
  </si>
  <si>
    <r>
      <t xml:space="preserve">21).- </t>
    </r>
    <r>
      <rPr>
        <sz val="8"/>
        <rFont val="Arial"/>
        <family val="2"/>
      </rPr>
      <t>Apoyo para el proyecto "Reconocimiento de la Calidad de la Evaluación Institucional".</t>
    </r>
  </si>
  <si>
    <t xml:space="preserve">        subprograma "Empleate", convocatoria 2011, 4 de 12.</t>
  </si>
  <si>
    <t xml:space="preserve">      - Apoyo de la Fundación Educación Superior Empresa, A.C.,para la operación del apoyo a la formación en la práctica,</t>
  </si>
  <si>
    <r>
      <t xml:space="preserve">16).- </t>
    </r>
    <r>
      <rPr>
        <sz val="8"/>
        <rFont val="Arial"/>
        <family val="2"/>
      </rPr>
      <t>Apoyo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de la Fundación Educación Superior Empresa, A.C.,para la operación del programa de apoyo a la inserción laboral</t>
    </r>
  </si>
  <si>
    <t xml:space="preserve">      - Apoyo de la Fundación Educación Superior Empresa, A.C., para la operación del apoyo a la formación en la práctica,</t>
  </si>
  <si>
    <t xml:space="preserve">      - Apoyo de la Fundación Educación Superior Empresa, A.C.,para la operación del programa de apoyo de las prácticas </t>
  </si>
  <si>
    <t xml:space="preserve">NOTA: </t>
  </si>
  <si>
    <t>1) El saldo al 31 de Enero de 2012 asciende a la cantidad de $ 118 273 150.72.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</si>
</sst>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_-[$$-80A]* #,##0.00_ ;_-[$$-80A]* \-#,##0.00\ ;_-[$$-80A]* &quot;-&quot;??_ ;_-@_ "/>
    <numFmt numFmtId="174" formatCode="_-* #,##0.00\ _P_t_s_-;\-* #,##0.00\ _P_t_s_-;_-* &quot;-&quot;\ _P_t_s_-;_-@_-"/>
    <numFmt numFmtId="175" formatCode="#,##0.00_ ;[Red]\-#,##0.00\ 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-80A]dddd\,\ dd&quot; de &quot;mmmm&quot; de &quot;yyyy"/>
    <numFmt numFmtId="184" formatCode="[$-80A]hh:mm:ss\ AM/PM"/>
    <numFmt numFmtId="185" formatCode="#\ ###\ ##0.00;\(#\ ###\ ##0.00\)"/>
    <numFmt numFmtId="186" formatCode="&quot;$&quot;\ #\ ###\ ##0.00;\(#\ ###\ ##0.00\)"/>
    <numFmt numFmtId="187" formatCode="[$€-2]\ #,##0.00_);[Red]\([$€-2]\ #,##0.00\)"/>
    <numFmt numFmtId="188" formatCode="#\ ###\ ###\ ##0.00;\(#\ ###\ ##0.00\)"/>
    <numFmt numFmtId="189" formatCode="mmm\-yyyy"/>
    <numFmt numFmtId="190" formatCode="&quot;$&quot;#,##0.00"/>
    <numFmt numFmtId="191" formatCode="0.00_ ;\-0.00\ "/>
  </numFmts>
  <fonts count="6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7.5"/>
      <color indexed="17"/>
      <name val="Times New Roman"/>
      <family val="1"/>
    </font>
    <font>
      <sz val="7.5"/>
      <name val="Arial"/>
      <family val="2"/>
    </font>
    <font>
      <sz val="7.5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2" fontId="6" fillId="0" borderId="0" xfId="5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0" xfId="51" applyNumberFormat="1" applyFont="1" applyFill="1" applyBorder="1" applyAlignment="1">
      <alignment/>
    </xf>
    <xf numFmtId="4" fontId="5" fillId="0" borderId="0" xfId="51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48" applyNumberFormat="1" applyFont="1" applyFill="1" applyAlignment="1">
      <alignment/>
    </xf>
    <xf numFmtId="4" fontId="6" fillId="0" borderId="0" xfId="46" applyNumberFormat="1" applyFont="1" applyFill="1" applyBorder="1" applyAlignment="1">
      <alignment/>
    </xf>
    <xf numFmtId="4" fontId="6" fillId="0" borderId="0" xfId="50" applyNumberFormat="1" applyFont="1" applyFill="1" applyBorder="1" applyAlignment="1">
      <alignment/>
    </xf>
    <xf numFmtId="4" fontId="6" fillId="0" borderId="0" xfId="50" applyNumberFormat="1" applyFont="1" applyFill="1" applyBorder="1" applyAlignment="1">
      <alignment/>
    </xf>
    <xf numFmtId="2" fontId="6" fillId="0" borderId="0" xfId="59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3" fontId="0" fillId="0" borderId="0" xfId="53" applyNumberFormat="1" applyFont="1" applyFill="1" applyBorder="1" applyAlignment="1">
      <alignment/>
    </xf>
    <xf numFmtId="43" fontId="1" fillId="0" borderId="0" xfId="53" applyNumberFormat="1" applyFont="1" applyFill="1" applyBorder="1" applyAlignment="1">
      <alignment/>
    </xf>
    <xf numFmtId="43" fontId="0" fillId="0" borderId="0" xfId="53" applyNumberFormat="1" applyFont="1" applyFill="1" applyBorder="1" applyAlignment="1">
      <alignment horizontal="right"/>
    </xf>
    <xf numFmtId="4" fontId="8" fillId="0" borderId="0" xfId="53" applyNumberFormat="1" applyFont="1" applyFill="1" applyAlignment="1">
      <alignment/>
    </xf>
    <xf numFmtId="43" fontId="8" fillId="0" borderId="0" xfId="53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175" fontId="0" fillId="0" borderId="0" xfId="53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71" fontId="6" fillId="0" borderId="0" xfId="46" applyFont="1" applyFill="1" applyAlignment="1">
      <alignment/>
    </xf>
    <xf numFmtId="171" fontId="5" fillId="0" borderId="0" xfId="46" applyFont="1" applyFill="1" applyBorder="1" applyAlignment="1">
      <alignment horizontal="center"/>
    </xf>
    <xf numFmtId="171" fontId="0" fillId="0" borderId="0" xfId="46" applyFont="1" applyFill="1" applyAlignment="1">
      <alignment/>
    </xf>
    <xf numFmtId="4" fontId="5" fillId="0" borderId="0" xfId="46" applyNumberFormat="1" applyFont="1" applyFill="1" applyAlignment="1">
      <alignment/>
    </xf>
    <xf numFmtId="171" fontId="5" fillId="0" borderId="0" xfId="46" applyFont="1" applyFill="1" applyAlignment="1">
      <alignment/>
    </xf>
    <xf numFmtId="4" fontId="6" fillId="0" borderId="0" xfId="46" applyNumberFormat="1" applyFont="1" applyFill="1" applyAlignment="1">
      <alignment/>
    </xf>
    <xf numFmtId="4" fontId="0" fillId="0" borderId="0" xfId="46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left"/>
    </xf>
    <xf numFmtId="185" fontId="1" fillId="0" borderId="0" xfId="53" applyNumberFormat="1" applyFont="1" applyFill="1" applyBorder="1" applyAlignment="1">
      <alignment/>
    </xf>
    <xf numFmtId="185" fontId="4" fillId="0" borderId="0" xfId="54" applyNumberFormat="1" applyFont="1" applyFill="1" applyBorder="1" applyAlignment="1">
      <alignment/>
    </xf>
    <xf numFmtId="185" fontId="1" fillId="0" borderId="0" xfId="53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0" fillId="0" borderId="0" xfId="0" applyNumberFormat="1" applyFont="1" applyFill="1" applyAlignment="1">
      <alignment/>
    </xf>
    <xf numFmtId="185" fontId="13" fillId="0" borderId="0" xfId="0" applyNumberFormat="1" applyFont="1" applyFill="1" applyAlignment="1">
      <alignment horizontal="center"/>
    </xf>
    <xf numFmtId="185" fontId="0" fillId="0" borderId="0" xfId="53" applyNumberFormat="1" applyFont="1" applyFill="1" applyBorder="1" applyAlignment="1">
      <alignment/>
    </xf>
    <xf numFmtId="185" fontId="11" fillId="0" borderId="0" xfId="53" applyNumberFormat="1" applyFont="1" applyFill="1" applyAlignment="1">
      <alignment/>
    </xf>
    <xf numFmtId="185" fontId="0" fillId="0" borderId="0" xfId="53" applyNumberFormat="1" applyFont="1" applyFill="1" applyAlignment="1">
      <alignment/>
    </xf>
    <xf numFmtId="185" fontId="11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 horizontal="center"/>
    </xf>
    <xf numFmtId="185" fontId="0" fillId="0" borderId="10" xfId="53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center"/>
    </xf>
    <xf numFmtId="185" fontId="2" fillId="0" borderId="0" xfId="0" applyNumberFormat="1" applyFont="1" applyFill="1" applyAlignment="1">
      <alignment/>
    </xf>
    <xf numFmtId="185" fontId="2" fillId="0" borderId="0" xfId="53" applyNumberFormat="1" applyFont="1" applyFill="1" applyBorder="1" applyAlignment="1">
      <alignment/>
    </xf>
    <xf numFmtId="185" fontId="11" fillId="0" borderId="0" xfId="53" applyNumberFormat="1" applyFont="1" applyFill="1" applyAlignment="1">
      <alignment/>
    </xf>
    <xf numFmtId="185" fontId="0" fillId="0" borderId="0" xfId="53" applyNumberFormat="1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11" fillId="0" borderId="0" xfId="53" applyNumberFormat="1" applyFont="1" applyFill="1" applyBorder="1" applyAlignment="1">
      <alignment/>
    </xf>
    <xf numFmtId="185" fontId="0" fillId="0" borderId="0" xfId="53" applyNumberFormat="1" applyFont="1" applyFill="1" applyAlignment="1">
      <alignment horizontal="right"/>
    </xf>
    <xf numFmtId="185" fontId="0" fillId="0" borderId="0" xfId="54" applyNumberFormat="1" applyFont="1" applyFill="1" applyAlignment="1">
      <alignment horizontal="right"/>
    </xf>
    <xf numFmtId="185" fontId="8" fillId="0" borderId="0" xfId="53" applyNumberFormat="1" applyFont="1" applyFill="1" applyAlignment="1">
      <alignment/>
    </xf>
    <xf numFmtId="185" fontId="10" fillId="0" borderId="0" xfId="53" applyNumberFormat="1" applyFont="1" applyFill="1" applyAlignment="1">
      <alignment/>
    </xf>
    <xf numFmtId="185" fontId="0" fillId="0" borderId="0" xfId="53" applyNumberFormat="1" applyFont="1" applyFill="1" applyBorder="1" applyAlignment="1">
      <alignment horizontal="right"/>
    </xf>
    <xf numFmtId="185" fontId="1" fillId="0" borderId="0" xfId="0" applyNumberFormat="1" applyFont="1" applyFill="1" applyAlignment="1">
      <alignment/>
    </xf>
    <xf numFmtId="185" fontId="0" fillId="0" borderId="10" xfId="53" applyNumberFormat="1" applyFont="1" applyFill="1" applyBorder="1" applyAlignment="1">
      <alignment horizontal="right"/>
    </xf>
    <xf numFmtId="185" fontId="4" fillId="0" borderId="0" xfId="53" applyNumberFormat="1" applyFont="1" applyFill="1" applyAlignment="1">
      <alignment horizontal="right"/>
    </xf>
    <xf numFmtId="185" fontId="11" fillId="0" borderId="0" xfId="53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1" fillId="0" borderId="11" xfId="53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85" fontId="6" fillId="0" borderId="0" xfId="51" applyNumberFormat="1" applyFont="1" applyFill="1" applyBorder="1" applyAlignment="1">
      <alignment/>
    </xf>
    <xf numFmtId="185" fontId="6" fillId="0" borderId="0" xfId="59" applyNumberFormat="1" applyFont="1" applyFill="1" applyBorder="1" applyAlignment="1">
      <alignment horizontal="right"/>
    </xf>
    <xf numFmtId="185" fontId="6" fillId="0" borderId="10" xfId="0" applyNumberFormat="1" applyFont="1" applyFill="1" applyBorder="1" applyAlignment="1">
      <alignment/>
    </xf>
    <xf numFmtId="185" fontId="6" fillId="0" borderId="10" xfId="51" applyNumberFormat="1" applyFont="1" applyFill="1" applyBorder="1" applyAlignment="1">
      <alignment/>
    </xf>
    <xf numFmtId="185" fontId="6" fillId="0" borderId="10" xfId="59" applyNumberFormat="1" applyFont="1" applyFill="1" applyBorder="1" applyAlignment="1">
      <alignment horizontal="right"/>
    </xf>
    <xf numFmtId="185" fontId="6" fillId="0" borderId="0" xfId="0" applyNumberFormat="1" applyFont="1" applyFill="1" applyAlignment="1">
      <alignment/>
    </xf>
    <xf numFmtId="185" fontId="6" fillId="0" borderId="0" xfId="59" applyNumberFormat="1" applyFont="1" applyFill="1" applyAlignment="1">
      <alignment horizontal="right"/>
    </xf>
    <xf numFmtId="185" fontId="5" fillId="0" borderId="12" xfId="51" applyNumberFormat="1" applyFont="1" applyFill="1" applyBorder="1" applyAlignment="1">
      <alignment/>
    </xf>
    <xf numFmtId="185" fontId="5" fillId="0" borderId="12" xfId="51" applyNumberFormat="1" applyFont="1" applyFill="1" applyBorder="1" applyAlignment="1">
      <alignment horizontal="right"/>
    </xf>
    <xf numFmtId="185" fontId="5" fillId="0" borderId="0" xfId="51" applyNumberFormat="1" applyFont="1" applyFill="1" applyBorder="1" applyAlignment="1">
      <alignment/>
    </xf>
    <xf numFmtId="185" fontId="5" fillId="0" borderId="10" xfId="0" applyNumberFormat="1" applyFont="1" applyFill="1" applyBorder="1" applyAlignment="1">
      <alignment/>
    </xf>
    <xf numFmtId="185" fontId="6" fillId="0" borderId="0" xfId="0" applyNumberFormat="1" applyFont="1" applyFill="1" applyAlignment="1">
      <alignment/>
    </xf>
    <xf numFmtId="185" fontId="5" fillId="0" borderId="13" xfId="51" applyNumberFormat="1" applyFont="1" applyFill="1" applyBorder="1" applyAlignment="1">
      <alignment/>
    </xf>
    <xf numFmtId="185" fontId="5" fillId="0" borderId="13" xfId="0" applyNumberFormat="1" applyFont="1" applyFill="1" applyBorder="1" applyAlignment="1">
      <alignment horizontal="right"/>
    </xf>
    <xf numFmtId="185" fontId="6" fillId="0" borderId="0" xfId="51" applyNumberFormat="1" applyFont="1" applyFill="1" applyBorder="1" applyAlignment="1">
      <alignment/>
    </xf>
    <xf numFmtId="185" fontId="6" fillId="0" borderId="0" xfId="59" applyNumberFormat="1" applyFont="1" applyFill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5" fillId="0" borderId="11" xfId="51" applyNumberFormat="1" applyFont="1" applyFill="1" applyBorder="1" applyAlignment="1">
      <alignment/>
    </xf>
    <xf numFmtId="185" fontId="5" fillId="0" borderId="0" xfId="51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5" fillId="0" borderId="12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0" xfId="53" applyNumberFormat="1" applyFont="1" applyFill="1" applyBorder="1" applyAlignment="1">
      <alignment horizontal="right"/>
    </xf>
    <xf numFmtId="185" fontId="6" fillId="0" borderId="0" xfId="53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/>
    </xf>
    <xf numFmtId="185" fontId="6" fillId="0" borderId="0" xfId="46" applyNumberFormat="1" applyFont="1" applyFill="1" applyBorder="1" applyAlignment="1">
      <alignment/>
    </xf>
    <xf numFmtId="185" fontId="5" fillId="0" borderId="13" xfId="48" applyNumberFormat="1" applyFont="1" applyFill="1" applyBorder="1" applyAlignment="1">
      <alignment/>
    </xf>
    <xf numFmtId="185" fontId="3" fillId="0" borderId="0" xfId="0" applyNumberFormat="1" applyFont="1" applyFill="1" applyBorder="1" applyAlignment="1">
      <alignment horizontal="center"/>
    </xf>
    <xf numFmtId="185" fontId="5" fillId="0" borderId="12" xfId="46" applyNumberFormat="1" applyFont="1" applyFill="1" applyBorder="1" applyAlignment="1">
      <alignment/>
    </xf>
    <xf numFmtId="185" fontId="6" fillId="0" borderId="0" xfId="46" applyNumberFormat="1" applyFont="1" applyFill="1" applyBorder="1" applyAlignment="1">
      <alignment horizontal="right"/>
    </xf>
    <xf numFmtId="185" fontId="5" fillId="0" borderId="12" xfId="48" applyNumberFormat="1" applyFont="1" applyFill="1" applyBorder="1" applyAlignment="1">
      <alignment/>
    </xf>
    <xf numFmtId="185" fontId="6" fillId="0" borderId="0" xfId="46" applyNumberFormat="1" applyFont="1" applyFill="1" applyAlignment="1">
      <alignment/>
    </xf>
    <xf numFmtId="185" fontId="6" fillId="0" borderId="0" xfId="50" applyNumberFormat="1" applyFont="1" applyFill="1" applyBorder="1" applyAlignment="1">
      <alignment/>
    </xf>
    <xf numFmtId="185" fontId="5" fillId="0" borderId="0" xfId="46" applyNumberFormat="1" applyFont="1" applyFill="1" applyAlignment="1">
      <alignment/>
    </xf>
    <xf numFmtId="185" fontId="6" fillId="0" borderId="0" xfId="5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185" fontId="5" fillId="0" borderId="13" xfId="0" applyNumberFormat="1" applyFont="1" applyFill="1" applyBorder="1" applyAlignment="1">
      <alignment/>
    </xf>
    <xf numFmtId="185" fontId="0" fillId="0" borderId="0" xfId="0" applyNumberFormat="1" applyFill="1" applyAlignment="1">
      <alignment horizontal="right"/>
    </xf>
    <xf numFmtId="185" fontId="5" fillId="0" borderId="12" xfId="0" applyNumberFormat="1" applyFont="1" applyFill="1" applyBorder="1" applyAlignment="1">
      <alignment horizontal="center"/>
    </xf>
    <xf numFmtId="185" fontId="6" fillId="0" borderId="0" xfId="50" applyNumberFormat="1" applyFont="1" applyFill="1" applyBorder="1" applyAlignment="1">
      <alignment horizontal="right"/>
    </xf>
    <xf numFmtId="185" fontId="5" fillId="0" borderId="14" xfId="48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185" fontId="4" fillId="0" borderId="0" xfId="54" applyNumberFormat="1" applyFont="1" applyFill="1" applyBorder="1" applyAlignment="1">
      <alignment horizontal="right"/>
    </xf>
    <xf numFmtId="185" fontId="1" fillId="0" borderId="0" xfId="53" applyNumberFormat="1" applyFont="1" applyFill="1" applyBorder="1" applyAlignment="1">
      <alignment horizontal="right"/>
    </xf>
    <xf numFmtId="185" fontId="1" fillId="0" borderId="0" xfId="54" applyNumberFormat="1" applyFont="1" applyFill="1" applyBorder="1" applyAlignment="1">
      <alignment horizontal="right"/>
    </xf>
    <xf numFmtId="185" fontId="2" fillId="0" borderId="0" xfId="53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 horizontal="right"/>
    </xf>
    <xf numFmtId="185" fontId="8" fillId="0" borderId="0" xfId="53" applyNumberFormat="1" applyFont="1" applyFill="1" applyAlignment="1">
      <alignment horizontal="right"/>
    </xf>
    <xf numFmtId="185" fontId="10" fillId="0" borderId="0" xfId="53" applyNumberFormat="1" applyFont="1" applyFill="1" applyAlignment="1">
      <alignment horizontal="right"/>
    </xf>
    <xf numFmtId="185" fontId="9" fillId="0" borderId="0" xfId="46" applyNumberFormat="1" applyFont="1" applyFill="1" applyAlignment="1">
      <alignment horizontal="right"/>
    </xf>
    <xf numFmtId="185" fontId="11" fillId="0" borderId="0" xfId="53" applyNumberFormat="1" applyFont="1" applyFill="1" applyBorder="1" applyAlignment="1">
      <alignment horizontal="right"/>
    </xf>
    <xf numFmtId="185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/>
    </xf>
    <xf numFmtId="185" fontId="0" fillId="0" borderId="0" xfId="54" applyNumberFormat="1" applyFont="1" applyFill="1" applyBorder="1" applyAlignment="1">
      <alignment/>
    </xf>
    <xf numFmtId="185" fontId="11" fillId="0" borderId="0" xfId="54" applyNumberFormat="1" applyFont="1" applyFill="1" applyBorder="1" applyAlignment="1">
      <alignment/>
    </xf>
    <xf numFmtId="185" fontId="8" fillId="0" borderId="0" xfId="0" applyNumberFormat="1" applyFont="1" applyFill="1" applyAlignment="1">
      <alignment/>
    </xf>
    <xf numFmtId="185" fontId="6" fillId="0" borderId="10" xfId="48" applyNumberFormat="1" applyFont="1" applyFill="1" applyBorder="1" applyAlignment="1">
      <alignment/>
    </xf>
    <xf numFmtId="171" fontId="6" fillId="0" borderId="0" xfId="46" applyFont="1" applyAlignment="1">
      <alignment/>
    </xf>
    <xf numFmtId="17" fontId="1" fillId="0" borderId="0" xfId="53" applyNumberFormat="1" applyFont="1" applyFill="1" applyBorder="1" applyAlignment="1">
      <alignment horizontal="left"/>
    </xf>
    <xf numFmtId="185" fontId="15" fillId="0" borderId="0" xfId="53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185" fontId="8" fillId="0" borderId="0" xfId="46" applyNumberFormat="1" applyFont="1" applyFill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Fill="1" applyAlignment="1">
      <alignment/>
    </xf>
    <xf numFmtId="171" fontId="6" fillId="0" borderId="0" xfId="46" applyFont="1" applyFill="1" applyBorder="1" applyAlignment="1">
      <alignment/>
    </xf>
    <xf numFmtId="171" fontId="6" fillId="0" borderId="10" xfId="46" applyFont="1" applyBorder="1" applyAlignment="1">
      <alignment/>
    </xf>
    <xf numFmtId="2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right"/>
    </xf>
    <xf numFmtId="185" fontId="5" fillId="0" borderId="0" xfId="50" applyNumberFormat="1" applyFont="1" applyFill="1" applyBorder="1" applyAlignment="1">
      <alignment/>
    </xf>
    <xf numFmtId="185" fontId="1" fillId="0" borderId="10" xfId="53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185" fontId="6" fillId="0" borderId="0" xfId="48" applyNumberFormat="1" applyFont="1" applyFill="1" applyAlignment="1">
      <alignment/>
    </xf>
    <xf numFmtId="185" fontId="6" fillId="0" borderId="10" xfId="48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85" fontId="5" fillId="0" borderId="11" xfId="0" applyNumberFormat="1" applyFont="1" applyBorder="1" applyAlignment="1">
      <alignment/>
    </xf>
    <xf numFmtId="171" fontId="5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85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88" fontId="5" fillId="0" borderId="11" xfId="0" applyNumberFormat="1" applyFont="1" applyFill="1" applyBorder="1" applyAlignment="1">
      <alignment/>
    </xf>
    <xf numFmtId="185" fontId="6" fillId="0" borderId="10" xfId="46" applyNumberFormat="1" applyFont="1" applyFill="1" applyBorder="1" applyAlignment="1">
      <alignment/>
    </xf>
    <xf numFmtId="185" fontId="5" fillId="0" borderId="11" xfId="46" applyNumberFormat="1" applyFont="1" applyFill="1" applyBorder="1" applyAlignment="1">
      <alignment/>
    </xf>
    <xf numFmtId="185" fontId="5" fillId="0" borderId="11" xfId="46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185" fontId="5" fillId="0" borderId="0" xfId="48" applyNumberFormat="1" applyFont="1" applyFill="1" applyBorder="1" applyAlignment="1">
      <alignment/>
    </xf>
    <xf numFmtId="185" fontId="5" fillId="0" borderId="11" xfId="48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85" fontId="3" fillId="0" borderId="0" xfId="0" applyNumberFormat="1" applyFont="1" applyFill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5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71" fontId="6" fillId="0" borderId="0" xfId="48" applyNumberFormat="1" applyFont="1" applyFill="1" applyAlignment="1">
      <alignment horizontal="right"/>
    </xf>
    <xf numFmtId="185" fontId="6" fillId="0" borderId="0" xfId="46" applyNumberFormat="1" applyFont="1" applyFill="1" applyAlignment="1">
      <alignment horizontal="right"/>
    </xf>
    <xf numFmtId="171" fontId="6" fillId="0" borderId="0" xfId="46" applyFont="1" applyFill="1" applyAlignment="1">
      <alignment horizontal="right"/>
    </xf>
    <xf numFmtId="185" fontId="6" fillId="0" borderId="10" xfId="46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185" fontId="5" fillId="0" borderId="0" xfId="59" applyNumberFormat="1" applyFont="1" applyFill="1" applyBorder="1" applyAlignment="1">
      <alignment horizontal="right"/>
    </xf>
    <xf numFmtId="185" fontId="5" fillId="0" borderId="11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53" applyNumberFormat="1" applyFont="1" applyFill="1" applyBorder="1" applyAlignment="1">
      <alignment horizontal="right"/>
    </xf>
    <xf numFmtId="4" fontId="0" fillId="0" borderId="0" xfId="53" applyNumberFormat="1" applyFont="1" applyFill="1" applyAlignment="1">
      <alignment/>
    </xf>
    <xf numFmtId="0" fontId="17" fillId="0" borderId="0" xfId="0" applyFont="1" applyAlignment="1">
      <alignment/>
    </xf>
    <xf numFmtId="171" fontId="6" fillId="0" borderId="0" xfId="46" applyFont="1" applyAlignment="1">
      <alignment/>
    </xf>
    <xf numFmtId="4" fontId="60" fillId="0" borderId="0" xfId="0" applyNumberFormat="1" applyFont="1" applyFill="1" applyAlignment="1">
      <alignment/>
    </xf>
    <xf numFmtId="185" fontId="60" fillId="0" borderId="0" xfId="53" applyNumberFormat="1" applyFont="1" applyFill="1" applyAlignment="1">
      <alignment/>
    </xf>
    <xf numFmtId="185" fontId="0" fillId="0" borderId="0" xfId="46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4" fontId="19" fillId="0" borderId="0" xfId="0" applyNumberFormat="1" applyFont="1" applyFill="1" applyAlignment="1">
      <alignment/>
    </xf>
    <xf numFmtId="171" fontId="0" fillId="0" borderId="0" xfId="46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172" fontId="5" fillId="0" borderId="12" xfId="46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5" fontId="5" fillId="0" borderId="14" xfId="51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185" fontId="7" fillId="0" borderId="0" xfId="53" applyNumberFormat="1" applyFont="1" applyFill="1" applyBorder="1" applyAlignment="1">
      <alignment horizontal="right"/>
    </xf>
    <xf numFmtId="185" fontId="5" fillId="0" borderId="0" xfId="48" applyNumberFormat="1" applyFont="1" applyFill="1" applyAlignment="1">
      <alignment/>
    </xf>
    <xf numFmtId="0" fontId="2" fillId="0" borderId="0" xfId="0" applyFont="1" applyAlignment="1">
      <alignment wrapText="1"/>
    </xf>
    <xf numFmtId="185" fontId="61" fillId="0" borderId="0" xfId="50" applyNumberFormat="1" applyFont="1" applyFill="1" applyBorder="1" applyAlignment="1">
      <alignment/>
    </xf>
    <xf numFmtId="185" fontId="61" fillId="0" borderId="0" xfId="50" applyNumberFormat="1" applyFont="1" applyFill="1" applyBorder="1" applyAlignment="1">
      <alignment horizontal="right"/>
    </xf>
    <xf numFmtId="15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57" applyFont="1" applyFill="1">
      <alignment/>
      <protection/>
    </xf>
    <xf numFmtId="0" fontId="0" fillId="0" borderId="0" xfId="57" applyFont="1" applyFill="1" applyAlignment="1">
      <alignment horizontal="center"/>
      <protection/>
    </xf>
    <xf numFmtId="4" fontId="1" fillId="0" borderId="0" xfId="57" applyNumberFormat="1" applyFont="1" applyFill="1" applyAlignment="1">
      <alignment horizontal="right"/>
      <protection/>
    </xf>
    <xf numFmtId="0" fontId="0" fillId="0" borderId="0" xfId="57" applyFont="1">
      <alignment/>
      <protection/>
    </xf>
    <xf numFmtId="0" fontId="1" fillId="0" borderId="0" xfId="57" applyFont="1" applyFill="1" applyBorder="1" applyAlignment="1">
      <alignment horizontal="center"/>
      <protection/>
    </xf>
    <xf numFmtId="0" fontId="13" fillId="0" borderId="0" xfId="57" applyFont="1" applyFill="1" applyBorder="1" applyAlignment="1">
      <alignment horizontal="center"/>
      <protection/>
    </xf>
    <xf numFmtId="0" fontId="0" fillId="0" borderId="0" xfId="57" applyFill="1" applyAlignment="1">
      <alignment horizontal="center"/>
      <protection/>
    </xf>
    <xf numFmtId="0" fontId="0" fillId="0" borderId="0" xfId="57">
      <alignment/>
      <protection/>
    </xf>
    <xf numFmtId="0" fontId="1" fillId="0" borderId="13" xfId="57" applyFont="1" applyFill="1" applyBorder="1" applyAlignment="1">
      <alignment horizontal="center" vertical="center"/>
      <protection/>
    </xf>
    <xf numFmtId="4" fontId="1" fillId="0" borderId="13" xfId="57" applyNumberFormat="1" applyFont="1" applyFill="1" applyBorder="1" applyAlignment="1">
      <alignment horizontal="center" vertical="center"/>
      <protection/>
    </xf>
    <xf numFmtId="4" fontId="1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left"/>
      <protection/>
    </xf>
    <xf numFmtId="0" fontId="6" fillId="0" borderId="0" xfId="57" applyFont="1" applyFill="1" applyAlignment="1">
      <alignment horizontal="center"/>
      <protection/>
    </xf>
    <xf numFmtId="185" fontId="6" fillId="0" borderId="0" xfId="49" applyNumberFormat="1" applyFont="1" applyFill="1" applyAlignment="1">
      <alignment/>
    </xf>
    <xf numFmtId="0" fontId="0" fillId="0" borderId="0" xfId="57" applyFill="1">
      <alignment/>
      <protection/>
    </xf>
    <xf numFmtId="0" fontId="2" fillId="0" borderId="0" xfId="57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left"/>
      <protection/>
    </xf>
    <xf numFmtId="49" fontId="6" fillId="0" borderId="0" xfId="57" applyNumberFormat="1" applyFont="1" applyFill="1" applyAlignment="1">
      <alignment horizontal="center"/>
      <protection/>
    </xf>
    <xf numFmtId="0" fontId="17" fillId="0" borderId="0" xfId="57" applyFont="1">
      <alignment/>
      <protection/>
    </xf>
    <xf numFmtId="185" fontId="0" fillId="0" borderId="0" xfId="57" applyNumberFormat="1" applyFont="1" applyFill="1">
      <alignment/>
      <protection/>
    </xf>
    <xf numFmtId="0" fontId="3" fillId="0" borderId="0" xfId="57" applyFont="1" applyFill="1" applyAlignment="1">
      <alignment horizontal="left"/>
      <protection/>
    </xf>
    <xf numFmtId="185" fontId="5" fillId="0" borderId="13" xfId="49" applyNumberFormat="1" applyFont="1" applyFill="1" applyBorder="1" applyAlignment="1">
      <alignment/>
    </xf>
    <xf numFmtId="185" fontId="0" fillId="0" borderId="0" xfId="57" applyNumberFormat="1" applyFill="1">
      <alignment/>
      <protection/>
    </xf>
    <xf numFmtId="0" fontId="3" fillId="0" borderId="0" xfId="57" applyFont="1" applyFill="1">
      <alignment/>
      <protection/>
    </xf>
    <xf numFmtId="185" fontId="5" fillId="0" borderId="13" xfId="57" applyNumberFormat="1" applyFont="1" applyFill="1" applyBorder="1">
      <alignment/>
      <protection/>
    </xf>
    <xf numFmtId="4" fontId="0" fillId="0" borderId="0" xfId="57" applyNumberFormat="1" applyFill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0" fontId="1" fillId="0" borderId="0" xfId="57" applyFont="1" applyFill="1" applyAlignment="1">
      <alignment horizontal="center"/>
      <protection/>
    </xf>
    <xf numFmtId="185" fontId="5" fillId="0" borderId="14" xfId="49" applyNumberFormat="1" applyFont="1" applyFill="1" applyBorder="1" applyAlignment="1">
      <alignment/>
    </xf>
    <xf numFmtId="185" fontId="5" fillId="0" borderId="11" xfId="49" applyNumberFormat="1" applyFont="1" applyFill="1" applyBorder="1" applyAlignment="1">
      <alignment/>
    </xf>
    <xf numFmtId="185" fontId="5" fillId="0" borderId="0" xfId="49" applyNumberFormat="1" applyFont="1" applyFill="1" applyBorder="1" applyAlignment="1">
      <alignment/>
    </xf>
    <xf numFmtId="0" fontId="5" fillId="0" borderId="0" xfId="57" applyFont="1" applyFill="1" applyAlignment="1">
      <alignment/>
      <protection/>
    </xf>
    <xf numFmtId="0" fontId="0" fillId="0" borderId="0" xfId="57" applyAlignment="1">
      <alignment horizontal="center"/>
      <protection/>
    </xf>
    <xf numFmtId="0" fontId="2" fillId="0" borderId="0" xfId="57" applyFont="1">
      <alignment/>
      <protection/>
    </xf>
    <xf numFmtId="0" fontId="6" fillId="0" borderId="0" xfId="57" applyFont="1">
      <alignment/>
      <protection/>
    </xf>
    <xf numFmtId="185" fontId="6" fillId="0" borderId="10" xfId="49" applyNumberFormat="1" applyFont="1" applyFill="1" applyBorder="1" applyAlignment="1">
      <alignment/>
    </xf>
    <xf numFmtId="185" fontId="5" fillId="0" borderId="11" xfId="57" applyNumberFormat="1" applyFont="1" applyBorder="1">
      <alignment/>
      <protection/>
    </xf>
    <xf numFmtId="185" fontId="5" fillId="0" borderId="0" xfId="57" applyNumberFormat="1" applyFont="1" applyBorder="1">
      <alignment/>
      <protection/>
    </xf>
    <xf numFmtId="171" fontId="6" fillId="0" borderId="0" xfId="52" applyFont="1" applyAlignment="1">
      <alignment/>
    </xf>
    <xf numFmtId="171" fontId="6" fillId="0" borderId="10" xfId="52" applyFont="1" applyBorder="1" applyAlignment="1">
      <alignment/>
    </xf>
    <xf numFmtId="171" fontId="6" fillId="0" borderId="0" xfId="52" applyFont="1" applyFill="1" applyBorder="1" applyAlignment="1">
      <alignment/>
    </xf>
    <xf numFmtId="0" fontId="0" fillId="0" borderId="0" xfId="57" applyBorder="1">
      <alignment/>
      <protection/>
    </xf>
    <xf numFmtId="171" fontId="5" fillId="0" borderId="12" xfId="57" applyNumberFormat="1" applyFont="1" applyBorder="1">
      <alignment/>
      <protection/>
    </xf>
    <xf numFmtId="0" fontId="1" fillId="0" borderId="0" xfId="57" applyFont="1" applyFill="1">
      <alignment/>
      <protection/>
    </xf>
    <xf numFmtId="0" fontId="6" fillId="0" borderId="0" xfId="57" applyFont="1" applyFill="1">
      <alignment/>
      <protection/>
    </xf>
    <xf numFmtId="185" fontId="61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Fill="1" applyAlignment="1">
      <alignment/>
    </xf>
    <xf numFmtId="0" fontId="61" fillId="0" borderId="0" xfId="0" applyFont="1" applyFill="1" applyAlignment="1">
      <alignment/>
    </xf>
    <xf numFmtId="185" fontId="61" fillId="0" borderId="0" xfId="53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85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57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 er Informe jun-ago. 2001" xfId="48"/>
    <cellStyle name="Millares [0]_1 er Informe jun-ago. 2001 2" xfId="49"/>
    <cellStyle name="Millares [0]_1er informe 2001" xfId="50"/>
    <cellStyle name="Millares [0]_Ingresos" xfId="51"/>
    <cellStyle name="Millares 2" xfId="52"/>
    <cellStyle name="Millares_1er informe 2001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zoomScalePageLayoutView="0" workbookViewId="0" topLeftCell="A28">
      <selection activeCell="C53" sqref="C53"/>
    </sheetView>
  </sheetViews>
  <sheetFormatPr defaultColWidth="11.421875" defaultRowHeight="12.75"/>
  <cols>
    <col min="1" max="1" width="11.57421875" style="1" customWidth="1"/>
    <col min="2" max="2" width="1.7109375" style="1" customWidth="1"/>
    <col min="3" max="3" width="35.57421875" style="1" customWidth="1"/>
    <col min="4" max="4" width="10.57421875" style="1" customWidth="1"/>
    <col min="5" max="5" width="2.7109375" style="1" customWidth="1"/>
    <col min="6" max="6" width="15.8515625" style="22" bestFit="1" customWidth="1"/>
    <col min="7" max="7" width="2.7109375" style="165" customWidth="1"/>
    <col min="8" max="8" width="15.28125" style="22" bestFit="1" customWidth="1"/>
    <col min="9" max="9" width="14.8515625" style="1" bestFit="1" customWidth="1"/>
    <col min="10" max="10" width="15.140625" style="1" customWidth="1"/>
    <col min="11" max="16384" width="11.421875" style="1" customWidth="1"/>
  </cols>
  <sheetData>
    <row r="1" spans="1:8" ht="14.25" customHeight="1">
      <c r="A1" s="350" t="s">
        <v>260</v>
      </c>
      <c r="B1" s="350"/>
      <c r="C1" s="350"/>
      <c r="D1" s="350"/>
      <c r="E1" s="350"/>
      <c r="F1" s="350"/>
      <c r="G1" s="350"/>
      <c r="H1" s="350"/>
    </row>
    <row r="2" spans="1:8" ht="12.75" customHeight="1">
      <c r="A2" s="350" t="s">
        <v>359</v>
      </c>
      <c r="B2" s="350"/>
      <c r="C2" s="350"/>
      <c r="D2" s="350"/>
      <c r="E2" s="350"/>
      <c r="F2" s="350"/>
      <c r="G2" s="350"/>
      <c r="H2" s="350"/>
    </row>
    <row r="3" spans="1:8" ht="12.75" customHeight="1">
      <c r="A3" s="350" t="s">
        <v>369</v>
      </c>
      <c r="B3" s="350"/>
      <c r="C3" s="350"/>
      <c r="D3" s="350"/>
      <c r="E3" s="350"/>
      <c r="F3" s="350"/>
      <c r="G3" s="350"/>
      <c r="H3" s="350"/>
    </row>
    <row r="4" spans="1:8" ht="13.5" customHeight="1">
      <c r="A4" s="350" t="s">
        <v>504</v>
      </c>
      <c r="B4" s="350"/>
      <c r="C4" s="350"/>
      <c r="D4" s="350"/>
      <c r="E4" s="350"/>
      <c r="F4" s="350"/>
      <c r="G4" s="350"/>
      <c r="H4" s="350"/>
    </row>
    <row r="5" spans="3:8" ht="24" customHeight="1">
      <c r="C5" s="38"/>
      <c r="D5" s="38"/>
      <c r="E5" s="38"/>
      <c r="F5" s="39"/>
      <c r="G5" s="164"/>
      <c r="H5" s="39"/>
    </row>
    <row r="6" spans="1:8" ht="15" customHeight="1">
      <c r="A6" s="244" t="s">
        <v>226</v>
      </c>
      <c r="B6" s="197"/>
      <c r="C6" s="346" t="s">
        <v>0</v>
      </c>
      <c r="D6" s="346"/>
      <c r="E6" s="346"/>
      <c r="F6" s="346"/>
      <c r="G6" s="242"/>
      <c r="H6" s="348" t="s">
        <v>1</v>
      </c>
    </row>
    <row r="7" spans="1:8" ht="15" customHeight="1">
      <c r="A7" s="245" t="s">
        <v>360</v>
      </c>
      <c r="B7" s="77"/>
      <c r="C7" s="347"/>
      <c r="D7" s="347"/>
      <c r="E7" s="347"/>
      <c r="F7" s="347"/>
      <c r="G7" s="243"/>
      <c r="H7" s="349"/>
    </row>
    <row r="8" spans="3:8" ht="18.75" customHeight="1">
      <c r="C8" s="41"/>
      <c r="D8" s="41"/>
      <c r="E8" s="41"/>
      <c r="H8" s="70"/>
    </row>
    <row r="9" spans="1:10" ht="14.25" customHeight="1">
      <c r="A9" s="16"/>
      <c r="B9" s="16"/>
      <c r="C9" s="67" t="s">
        <v>107</v>
      </c>
      <c r="D9" s="67"/>
      <c r="E9" s="84"/>
      <c r="G9" s="166" t="s">
        <v>259</v>
      </c>
      <c r="H9" s="87">
        <v>521049408.16</v>
      </c>
      <c r="I9" s="262"/>
      <c r="J9" s="59"/>
    </row>
    <row r="10" spans="1:9" ht="14.25" customHeight="1">
      <c r="A10" s="16"/>
      <c r="B10" s="16"/>
      <c r="C10" s="67"/>
      <c r="D10" s="67"/>
      <c r="E10" s="84"/>
      <c r="F10" s="108"/>
      <c r="G10" s="167"/>
      <c r="H10" s="88"/>
      <c r="I10" s="40"/>
    </row>
    <row r="11" spans="1:9" ht="14.25" customHeight="1">
      <c r="A11" s="16"/>
      <c r="B11" s="16"/>
      <c r="C11" s="67"/>
      <c r="D11" s="67"/>
      <c r="E11" s="84"/>
      <c r="F11" s="91"/>
      <c r="G11" s="167"/>
      <c r="H11" s="88"/>
      <c r="I11" s="40"/>
    </row>
    <row r="12" spans="1:9" ht="14.25">
      <c r="A12" s="78" t="s">
        <v>255</v>
      </c>
      <c r="C12" s="7"/>
      <c r="D12" s="7"/>
      <c r="E12" s="89"/>
      <c r="F12" s="91"/>
      <c r="G12" s="167"/>
      <c r="H12" s="181"/>
      <c r="I12" s="16"/>
    </row>
    <row r="13" spans="3:9" ht="15">
      <c r="C13" s="79" t="s">
        <v>256</v>
      </c>
      <c r="D13" s="76"/>
      <c r="E13" s="90"/>
      <c r="F13" s="180"/>
      <c r="G13" s="168"/>
      <c r="H13" s="1"/>
      <c r="I13" s="28"/>
    </row>
    <row r="14" spans="3:9" ht="14.25">
      <c r="C14" s="7"/>
      <c r="D14" s="7"/>
      <c r="E14" s="89"/>
      <c r="F14" s="91"/>
      <c r="G14" s="108"/>
      <c r="H14" s="92"/>
      <c r="I14" s="16"/>
    </row>
    <row r="15" spans="1:10" ht="14.25">
      <c r="A15" s="4" t="s">
        <v>227</v>
      </c>
      <c r="B15" s="4"/>
      <c r="C15" s="7" t="s">
        <v>2</v>
      </c>
      <c r="D15" s="176"/>
      <c r="E15" s="89" t="s">
        <v>259</v>
      </c>
      <c r="F15" s="93">
        <f>Sub!E24</f>
        <v>1202735775.04</v>
      </c>
      <c r="G15" s="105"/>
      <c r="H15" s="94"/>
      <c r="I15" s="42"/>
      <c r="J15" s="42"/>
    </row>
    <row r="16" spans="1:9" ht="14.25">
      <c r="A16" s="4"/>
      <c r="B16" s="4"/>
      <c r="C16" s="10"/>
      <c r="D16" s="10"/>
      <c r="E16" s="95"/>
      <c r="F16" s="265"/>
      <c r="G16" s="104"/>
      <c r="H16" s="94"/>
      <c r="I16" s="42"/>
    </row>
    <row r="17" spans="1:9" ht="14.25">
      <c r="A17" s="4"/>
      <c r="B17" s="4"/>
      <c r="C17" s="7"/>
      <c r="D17" s="176"/>
      <c r="E17" s="89"/>
      <c r="F17" s="93"/>
      <c r="G17" s="104"/>
      <c r="H17" s="94"/>
      <c r="I17" s="16"/>
    </row>
    <row r="18" spans="1:10" ht="14.25">
      <c r="A18" s="4" t="s">
        <v>228</v>
      </c>
      <c r="B18" s="4"/>
      <c r="C18" s="7" t="s">
        <v>4</v>
      </c>
      <c r="D18" s="176"/>
      <c r="E18" s="89"/>
      <c r="F18" s="93">
        <f>'Ing.Prop'!E71</f>
        <v>42135918.98999998</v>
      </c>
      <c r="G18" s="104"/>
      <c r="H18" s="94"/>
      <c r="I18" s="42"/>
      <c r="J18" s="42"/>
    </row>
    <row r="19" spans="1:9" ht="14.25">
      <c r="A19" s="4"/>
      <c r="B19" s="4"/>
      <c r="C19" s="10"/>
      <c r="D19" s="10"/>
      <c r="E19" s="95"/>
      <c r="G19" s="104"/>
      <c r="H19" s="94"/>
      <c r="I19" s="42"/>
    </row>
    <row r="20" spans="1:9" ht="14.25">
      <c r="A20" s="4"/>
      <c r="B20" s="4"/>
      <c r="C20" s="7"/>
      <c r="D20" s="176"/>
      <c r="E20" s="89"/>
      <c r="F20" s="266"/>
      <c r="G20" s="104"/>
      <c r="H20" s="94"/>
      <c r="I20" s="16"/>
    </row>
    <row r="21" spans="1:10" ht="14.25">
      <c r="A21" s="4" t="s">
        <v>229</v>
      </c>
      <c r="B21" s="4"/>
      <c r="C21" s="7" t="s">
        <v>6</v>
      </c>
      <c r="D21" s="176"/>
      <c r="E21" s="89"/>
      <c r="F21" s="93">
        <f>'O.Ing.Prop'!E19</f>
        <v>9404280.850000001</v>
      </c>
      <c r="G21" s="104"/>
      <c r="H21" s="94"/>
      <c r="I21" s="42"/>
      <c r="J21" s="42"/>
    </row>
    <row r="22" spans="1:9" ht="14.25">
      <c r="A22" s="4"/>
      <c r="B22" s="4"/>
      <c r="C22" s="10"/>
      <c r="D22" s="10"/>
      <c r="E22" s="95"/>
      <c r="F22" s="93"/>
      <c r="G22" s="104"/>
      <c r="H22" s="94"/>
      <c r="I22" s="42"/>
    </row>
    <row r="23" spans="1:9" ht="14.25">
      <c r="A23" s="4"/>
      <c r="B23" s="4"/>
      <c r="C23" s="7"/>
      <c r="D23" s="176"/>
      <c r="E23" s="89"/>
      <c r="F23" s="88"/>
      <c r="G23" s="160"/>
      <c r="H23" s="94"/>
      <c r="I23" s="16"/>
    </row>
    <row r="24" spans="1:10" ht="12.75">
      <c r="A24" s="4" t="s">
        <v>230</v>
      </c>
      <c r="B24" s="4"/>
      <c r="C24" s="7" t="s">
        <v>9</v>
      </c>
      <c r="D24" s="176"/>
      <c r="E24" s="89"/>
      <c r="F24" s="96">
        <f>'O.Ing'!E18</f>
        <v>30533356.6</v>
      </c>
      <c r="G24" s="104"/>
      <c r="H24" s="87">
        <f>SUM(F15:F24)</f>
        <v>1284809331.4799998</v>
      </c>
      <c r="I24" s="42"/>
      <c r="J24" s="42"/>
    </row>
    <row r="25" spans="3:10" ht="14.25">
      <c r="C25" s="10"/>
      <c r="D25" s="10"/>
      <c r="E25" s="95"/>
      <c r="F25" s="91"/>
      <c r="G25" s="108"/>
      <c r="H25" s="94"/>
      <c r="I25" s="42"/>
      <c r="J25" s="42"/>
    </row>
    <row r="26" spans="3:9" ht="14.25">
      <c r="C26" s="7"/>
      <c r="D26" s="176"/>
      <c r="E26" s="89"/>
      <c r="F26" s="91"/>
      <c r="G26" s="108"/>
      <c r="H26" s="92"/>
      <c r="I26" s="16"/>
    </row>
    <row r="27" spans="1:9" ht="15.75" customHeight="1">
      <c r="A27" s="16"/>
      <c r="B27" s="16"/>
      <c r="C27" s="2"/>
      <c r="D27" s="2"/>
      <c r="E27" s="97"/>
      <c r="F27" s="85"/>
      <c r="G27" s="167"/>
      <c r="H27" s="88"/>
      <c r="I27" s="43"/>
    </row>
    <row r="28" spans="1:9" ht="14.25">
      <c r="A28" s="78" t="s">
        <v>257</v>
      </c>
      <c r="C28" s="41"/>
      <c r="D28" s="177"/>
      <c r="E28" s="98"/>
      <c r="F28" s="99"/>
      <c r="G28" s="169"/>
      <c r="H28" s="100"/>
      <c r="I28" s="16"/>
    </row>
    <row r="29" spans="3:9" ht="15">
      <c r="C29" s="79" t="s">
        <v>258</v>
      </c>
      <c r="D29" s="76"/>
      <c r="E29" s="90"/>
      <c r="F29" s="101"/>
      <c r="G29" s="108"/>
      <c r="H29" s="1"/>
      <c r="I29" s="28"/>
    </row>
    <row r="30" spans="3:9" ht="14.25">
      <c r="C30" s="7"/>
      <c r="D30" s="176"/>
      <c r="E30" s="89"/>
      <c r="F30" s="102"/>
      <c r="G30" s="170"/>
      <c r="H30" s="103"/>
      <c r="I30" s="16"/>
    </row>
    <row r="31" spans="1:9" ht="14.25">
      <c r="A31" s="4" t="s">
        <v>231</v>
      </c>
      <c r="B31" s="4"/>
      <c r="C31" s="7" t="s">
        <v>11</v>
      </c>
      <c r="D31" s="176"/>
      <c r="E31" s="89" t="s">
        <v>259</v>
      </c>
      <c r="F31" s="104">
        <f>'Serv.Per'!E96</f>
        <v>1087545898.01</v>
      </c>
      <c r="G31" s="105"/>
      <c r="H31" s="94"/>
      <c r="I31" s="59"/>
    </row>
    <row r="32" spans="1:10" ht="12.75">
      <c r="A32" s="4"/>
      <c r="B32" s="4"/>
      <c r="C32" s="10"/>
      <c r="E32" s="95"/>
      <c r="F32" s="192"/>
      <c r="G32" s="171"/>
      <c r="H32" s="192"/>
      <c r="I32" s="186"/>
      <c r="J32" s="59"/>
    </row>
    <row r="33" spans="1:10" ht="12.75">
      <c r="A33" s="4"/>
      <c r="B33" s="4"/>
      <c r="C33" s="7"/>
      <c r="D33" s="176"/>
      <c r="E33" s="89"/>
      <c r="F33" s="265"/>
      <c r="G33" s="104"/>
      <c r="H33" s="192"/>
      <c r="I33" s="265"/>
      <c r="J33" s="59"/>
    </row>
    <row r="34" spans="1:10" ht="12.75">
      <c r="A34" s="4" t="s">
        <v>232</v>
      </c>
      <c r="B34" s="4"/>
      <c r="C34" s="7" t="s">
        <v>13</v>
      </c>
      <c r="D34" s="176"/>
      <c r="E34" s="89"/>
      <c r="F34" s="104">
        <f>'Mat.Cons'!E14</f>
        <v>2719218.42</v>
      </c>
      <c r="G34" s="104"/>
      <c r="I34" s="148"/>
      <c r="J34" s="267"/>
    </row>
    <row r="35" spans="1:9" ht="12.75">
      <c r="A35" s="4"/>
      <c r="B35" s="4"/>
      <c r="C35" s="10"/>
      <c r="D35" s="179"/>
      <c r="E35" s="95"/>
      <c r="F35" s="187"/>
      <c r="G35" s="172"/>
      <c r="I35" s="44"/>
    </row>
    <row r="36" spans="1:9" ht="12.75">
      <c r="A36" s="4"/>
      <c r="B36" s="4"/>
      <c r="C36" s="7"/>
      <c r="G36" s="172"/>
      <c r="H36" s="107"/>
      <c r="I36" s="16"/>
    </row>
    <row r="37" spans="1:10" ht="14.25">
      <c r="A37" s="4" t="s">
        <v>233</v>
      </c>
      <c r="B37" s="4"/>
      <c r="C37" s="7" t="s">
        <v>15</v>
      </c>
      <c r="D37" s="176"/>
      <c r="E37" s="89"/>
      <c r="F37" s="108">
        <f>'Serv.Grals'!E50</f>
        <v>68618742.53999999</v>
      </c>
      <c r="G37" s="108"/>
      <c r="H37" s="94"/>
      <c r="I37" s="44"/>
      <c r="J37" s="44"/>
    </row>
    <row r="38" spans="1:9" ht="12.75">
      <c r="A38" s="4"/>
      <c r="B38" s="4"/>
      <c r="C38" s="10"/>
      <c r="D38" s="179"/>
      <c r="E38" s="95"/>
      <c r="F38" s="186"/>
      <c r="G38" s="160"/>
      <c r="I38" s="46"/>
    </row>
    <row r="39" spans="1:8" ht="12.75">
      <c r="A39" s="4"/>
      <c r="B39" s="4"/>
      <c r="C39" s="8"/>
      <c r="D39" s="179"/>
      <c r="E39" s="109"/>
      <c r="F39" s="188"/>
      <c r="G39" s="173"/>
      <c r="H39" s="88"/>
    </row>
    <row r="40" spans="1:10" ht="12.75">
      <c r="A40" s="4" t="s">
        <v>234</v>
      </c>
      <c r="B40" s="4"/>
      <c r="C40" s="7" t="s">
        <v>17</v>
      </c>
      <c r="D40" s="176"/>
      <c r="E40" s="241" t="s">
        <v>22</v>
      </c>
      <c r="F40" s="110">
        <f>'Gto.Comp'!E17</f>
        <v>199915143.64999998</v>
      </c>
      <c r="G40" s="108"/>
      <c r="H40" s="201">
        <f>SUM(F31:F40)</f>
        <v>1358799002.62</v>
      </c>
      <c r="I40" s="44"/>
      <c r="J40" s="44"/>
    </row>
    <row r="41" spans="3:10" ht="15">
      <c r="C41" s="10"/>
      <c r="D41" s="10"/>
      <c r="E41" s="95"/>
      <c r="F41" s="101"/>
      <c r="G41" s="108"/>
      <c r="H41" s="111"/>
      <c r="I41" s="44"/>
      <c r="J41" s="44"/>
    </row>
    <row r="42" spans="3:9" ht="14.25">
      <c r="C42" s="8"/>
      <c r="D42" s="4"/>
      <c r="E42" s="109"/>
      <c r="F42" s="101"/>
      <c r="G42" s="108"/>
      <c r="H42" s="112"/>
      <c r="I42" s="16"/>
    </row>
    <row r="43" spans="1:10" ht="14.25" customHeight="1" thickBot="1">
      <c r="A43" s="2" t="s">
        <v>235</v>
      </c>
      <c r="B43" s="16"/>
      <c r="C43" s="223" t="s">
        <v>106</v>
      </c>
      <c r="D43" s="75"/>
      <c r="E43" s="113"/>
      <c r="G43" s="166" t="s">
        <v>259</v>
      </c>
      <c r="H43" s="114">
        <f>H9+H24-H40</f>
        <v>447059737.02</v>
      </c>
      <c r="I43" s="50"/>
      <c r="J43" s="50"/>
    </row>
    <row r="44" spans="1:8" ht="12.75" customHeight="1" thickTop="1">
      <c r="A44" s="16"/>
      <c r="B44" s="16"/>
      <c r="C44" s="75"/>
      <c r="D44" s="75"/>
      <c r="E44" s="115"/>
      <c r="G44" s="174"/>
      <c r="H44" s="86"/>
    </row>
    <row r="45" spans="1:10" ht="12.75" customHeight="1">
      <c r="A45" s="16"/>
      <c r="B45" s="16"/>
      <c r="C45" s="72"/>
      <c r="D45" s="75"/>
      <c r="E45" s="113"/>
      <c r="G45" s="170"/>
      <c r="H45" s="182"/>
      <c r="I45" s="185"/>
      <c r="J45" s="50"/>
    </row>
    <row r="46" spans="2:9" ht="12.75">
      <c r="B46" s="2"/>
      <c r="D46" s="3"/>
      <c r="E46" s="88"/>
      <c r="G46" s="175"/>
      <c r="H46" s="45"/>
      <c r="I46" s="261"/>
    </row>
    <row r="47" spans="3:9" ht="12.75">
      <c r="C47" s="71" t="s">
        <v>691</v>
      </c>
      <c r="D47" s="47"/>
      <c r="E47" s="116"/>
      <c r="F47" s="88"/>
      <c r="G47" s="170"/>
      <c r="H47" s="182"/>
      <c r="I47" s="48"/>
    </row>
    <row r="48" spans="3:9" ht="12.75">
      <c r="C48" s="53" t="s">
        <v>692</v>
      </c>
      <c r="D48" s="3"/>
      <c r="E48" s="88"/>
      <c r="G48" s="160"/>
      <c r="H48" s="106"/>
      <c r="I48" s="42"/>
    </row>
    <row r="49" spans="4:9" ht="12.75">
      <c r="D49" s="3"/>
      <c r="I49" s="48"/>
    </row>
    <row r="50" spans="4:9" ht="12.75">
      <c r="D50" s="3"/>
      <c r="I50" s="45"/>
    </row>
    <row r="51" ht="12.75">
      <c r="I51" s="49"/>
    </row>
    <row r="52" ht="12.75">
      <c r="I52" s="50"/>
    </row>
  </sheetData>
  <sheetProtection/>
  <mergeCells count="6">
    <mergeCell ref="C6:F7"/>
    <mergeCell ref="H6:H7"/>
    <mergeCell ref="A1:H1"/>
    <mergeCell ref="A2:H2"/>
    <mergeCell ref="A3:H3"/>
    <mergeCell ref="A4:H4"/>
  </mergeCells>
  <printOptions/>
  <pageMargins left="0.8661417322834646" right="0.35433070866141736" top="0.7874015748031497" bottom="0.7874015748031497" header="0" footer="0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="125" zoomScaleNormal="125" zoomScalePageLayoutView="0" workbookViewId="0" topLeftCell="A1">
      <selection activeCell="D18" sqref="D18"/>
    </sheetView>
  </sheetViews>
  <sheetFormatPr defaultColWidth="11.421875" defaultRowHeight="12.75"/>
  <cols>
    <col min="1" max="1" width="36.00390625" style="1" customWidth="1"/>
    <col min="2" max="2" width="12.140625" style="22" customWidth="1"/>
    <col min="3" max="4" width="11.7109375" style="22" customWidth="1"/>
    <col min="5" max="5" width="11.421875" style="22" customWidth="1"/>
    <col min="6" max="6" width="6.00390625" style="1" customWidth="1"/>
    <col min="7" max="16384" width="11.421875" style="1" customWidth="1"/>
  </cols>
  <sheetData>
    <row r="1" spans="1:6" s="205" customFormat="1" ht="12.75">
      <c r="A1" s="202"/>
      <c r="B1" s="203"/>
      <c r="C1" s="203"/>
      <c r="D1" s="203"/>
      <c r="E1" s="352" t="s">
        <v>12</v>
      </c>
      <c r="F1" s="352"/>
    </row>
    <row r="2" spans="1:6" s="205" customFormat="1" ht="12.75">
      <c r="A2" s="351" t="s">
        <v>260</v>
      </c>
      <c r="B2" s="351"/>
      <c r="C2" s="351"/>
      <c r="D2" s="351"/>
      <c r="E2" s="351"/>
      <c r="F2" s="351"/>
    </row>
    <row r="3" spans="1:6" s="205" customFormat="1" ht="12.75">
      <c r="A3" s="353" t="s">
        <v>359</v>
      </c>
      <c r="B3" s="353"/>
      <c r="C3" s="353"/>
      <c r="D3" s="353"/>
      <c r="E3" s="353"/>
      <c r="F3" s="353"/>
    </row>
    <row r="4" spans="1:6" s="205" customFormat="1" ht="12.75">
      <c r="A4" s="351" t="s">
        <v>268</v>
      </c>
      <c r="B4" s="351"/>
      <c r="C4" s="351"/>
      <c r="D4" s="351"/>
      <c r="E4" s="351"/>
      <c r="F4" s="351"/>
    </row>
    <row r="5" spans="1:7" s="212" customFormat="1" ht="12.75">
      <c r="A5" s="351" t="s">
        <v>508</v>
      </c>
      <c r="B5" s="351"/>
      <c r="C5" s="351"/>
      <c r="D5" s="351"/>
      <c r="E5" s="351"/>
      <c r="F5" s="351"/>
      <c r="G5" s="211"/>
    </row>
    <row r="6" spans="1:7" ht="18.75" customHeight="1">
      <c r="A6" s="16"/>
      <c r="B6" s="16"/>
      <c r="C6" s="16"/>
      <c r="D6" s="16"/>
      <c r="E6" s="16"/>
      <c r="F6" s="16"/>
      <c r="G6" s="35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1:6" ht="9" customHeight="1">
      <c r="A8" s="64"/>
      <c r="B8" s="64"/>
      <c r="C8" s="64"/>
      <c r="D8" s="64"/>
      <c r="E8" s="64"/>
      <c r="F8" s="2"/>
    </row>
    <row r="9" spans="1:6" ht="15" customHeight="1">
      <c r="A9" s="41" t="s">
        <v>643</v>
      </c>
      <c r="B9" s="147"/>
      <c r="C9" s="147">
        <v>65719.8</v>
      </c>
      <c r="D9" s="147"/>
      <c r="E9" s="148">
        <f>SUM(B9:D9)</f>
        <v>65719.8</v>
      </c>
      <c r="F9" s="152">
        <f>(E9/$E$14)*100</f>
        <v>2.4168635927377986</v>
      </c>
    </row>
    <row r="10" spans="1:6" ht="15" customHeight="1">
      <c r="A10" s="225" t="s">
        <v>239</v>
      </c>
      <c r="B10" s="147"/>
      <c r="C10" s="147">
        <v>1790043.12</v>
      </c>
      <c r="D10" s="147">
        <v>540844.88</v>
      </c>
      <c r="E10" s="148">
        <f>SUM(B10:D10)</f>
        <v>2330888</v>
      </c>
      <c r="F10" s="152">
        <f>(E10/$E$14)*100</f>
        <v>85.71904275346884</v>
      </c>
    </row>
    <row r="11" spans="1:6" ht="15" customHeight="1">
      <c r="A11" s="5" t="s">
        <v>60</v>
      </c>
      <c r="B11" s="147">
        <v>95785.81</v>
      </c>
      <c r="C11" s="147">
        <v>175433.01</v>
      </c>
      <c r="D11" s="147">
        <v>32991.8</v>
      </c>
      <c r="E11" s="148">
        <f>SUM(B11:D11)</f>
        <v>304210.62</v>
      </c>
      <c r="F11" s="152">
        <f>(E11/$E$14)*100</f>
        <v>11.187428628848432</v>
      </c>
    </row>
    <row r="12" spans="1:6" ht="15" customHeight="1">
      <c r="A12" s="5" t="s">
        <v>512</v>
      </c>
      <c r="B12" s="147">
        <v>18400</v>
      </c>
      <c r="C12" s="147"/>
      <c r="D12" s="147"/>
      <c r="E12" s="148">
        <f>SUM(B12:D12)</f>
        <v>18400</v>
      </c>
      <c r="F12" s="152">
        <f>(E12/$E$14)*100</f>
        <v>0.6766650249449252</v>
      </c>
    </row>
    <row r="13" spans="1:6" ht="9" customHeight="1">
      <c r="A13" s="5"/>
      <c r="B13" s="147"/>
      <c r="C13" s="147"/>
      <c r="D13" s="147"/>
      <c r="E13" s="147"/>
      <c r="F13" s="152"/>
    </row>
    <row r="14" spans="1:6" ht="15" customHeight="1" thickBot="1">
      <c r="A14" s="64" t="s">
        <v>95</v>
      </c>
      <c r="B14" s="153">
        <f>SUM(B9:B13)</f>
        <v>114185.81</v>
      </c>
      <c r="C14" s="153">
        <f>SUM(C9:C13)</f>
        <v>2031195.9300000002</v>
      </c>
      <c r="D14" s="153">
        <f>SUM(D9:D13)</f>
        <v>573836.68</v>
      </c>
      <c r="E14" s="153">
        <f>SUM(E9:E13)</f>
        <v>2719218.42</v>
      </c>
      <c r="F14" s="153">
        <f>SUM(F9:F13)</f>
        <v>100</v>
      </c>
    </row>
    <row r="15" ht="13.5" thickTop="1"/>
    <row r="17" ht="12.75">
      <c r="D17" s="36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9055118110236221" top="0.7874015748031497" bottom="0.7874015748031497" header="0" footer="0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zoomScale="125" zoomScaleNormal="125" zoomScalePageLayoutView="0" workbookViewId="0" topLeftCell="A1">
      <selection activeCell="H11" sqref="H11"/>
    </sheetView>
  </sheetViews>
  <sheetFormatPr defaultColWidth="11.421875" defaultRowHeight="12.75"/>
  <cols>
    <col min="1" max="1" width="38.00390625" style="1" customWidth="1"/>
    <col min="2" max="5" width="12.00390625" style="22" customWidth="1"/>
    <col min="6" max="6" width="6.57421875" style="1" customWidth="1"/>
    <col min="7" max="7" width="12.00390625" style="1" bestFit="1" customWidth="1"/>
    <col min="8" max="8" width="11.8515625" style="1" bestFit="1" customWidth="1"/>
    <col min="9" max="16384" width="11.421875" style="1" customWidth="1"/>
  </cols>
  <sheetData>
    <row r="1" spans="1:6" s="205" customFormat="1" ht="12.75">
      <c r="A1" s="202"/>
      <c r="B1" s="203"/>
      <c r="C1" s="203"/>
      <c r="D1" s="203"/>
      <c r="E1" s="352" t="s">
        <v>14</v>
      </c>
      <c r="F1" s="352"/>
    </row>
    <row r="2" spans="1:6" s="205" customFormat="1" ht="12.75">
      <c r="A2" s="351" t="s">
        <v>260</v>
      </c>
      <c r="B2" s="351"/>
      <c r="C2" s="351"/>
      <c r="D2" s="351"/>
      <c r="E2" s="351"/>
      <c r="F2" s="351"/>
    </row>
    <row r="3" spans="1:6" s="205" customFormat="1" ht="12.75">
      <c r="A3" s="353" t="s">
        <v>359</v>
      </c>
      <c r="B3" s="353"/>
      <c r="C3" s="353"/>
      <c r="D3" s="353"/>
      <c r="E3" s="353"/>
      <c r="F3" s="353"/>
    </row>
    <row r="4" spans="1:6" s="205" customFormat="1" ht="12.75">
      <c r="A4" s="351" t="s">
        <v>269</v>
      </c>
      <c r="B4" s="351"/>
      <c r="C4" s="351"/>
      <c r="D4" s="351"/>
      <c r="E4" s="351"/>
      <c r="F4" s="351"/>
    </row>
    <row r="5" spans="1:7" s="212" customFormat="1" ht="12.75">
      <c r="A5" s="351" t="s">
        <v>508</v>
      </c>
      <c r="B5" s="351"/>
      <c r="C5" s="351"/>
      <c r="D5" s="351"/>
      <c r="E5" s="351"/>
      <c r="F5" s="351"/>
      <c r="G5" s="211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1:6" ht="7.5" customHeight="1">
      <c r="A8" s="64"/>
      <c r="B8" s="64"/>
      <c r="C8" s="64"/>
      <c r="D8" s="64"/>
      <c r="E8" s="64"/>
      <c r="F8" s="2"/>
    </row>
    <row r="9" spans="1:7" ht="12.75">
      <c r="A9" s="5" t="s">
        <v>61</v>
      </c>
      <c r="B9" s="148">
        <v>4342855</v>
      </c>
      <c r="C9" s="148">
        <v>3014594.73</v>
      </c>
      <c r="D9" s="148">
        <v>2206076</v>
      </c>
      <c r="E9" s="148">
        <f aca="true" t="shared" si="0" ref="E9:E48">SUM(B9:D9)</f>
        <v>9563525.73</v>
      </c>
      <c r="F9" s="152">
        <f aca="true" t="shared" si="1" ref="F9:F48">(E9/$E$50)*100</f>
        <v>13.937191758396219</v>
      </c>
      <c r="G9" s="5"/>
    </row>
    <row r="10" spans="1:7" ht="12.75">
      <c r="A10" s="5" t="s">
        <v>613</v>
      </c>
      <c r="B10" s="148">
        <v>288394.59</v>
      </c>
      <c r="C10" s="148">
        <v>274546.06</v>
      </c>
      <c r="D10" s="148">
        <v>311261.07</v>
      </c>
      <c r="E10" s="148">
        <f t="shared" si="0"/>
        <v>874201.72</v>
      </c>
      <c r="F10" s="152">
        <f t="shared" si="1"/>
        <v>1.2739984552914252</v>
      </c>
      <c r="G10" s="5"/>
    </row>
    <row r="11" spans="1:7" ht="12.75">
      <c r="A11" s="5" t="s">
        <v>612</v>
      </c>
      <c r="B11" s="148">
        <v>1958036.38</v>
      </c>
      <c r="C11" s="148">
        <v>754</v>
      </c>
      <c r="D11" s="148">
        <v>2221509.81</v>
      </c>
      <c r="E11" s="148">
        <f t="shared" si="0"/>
        <v>4180300.19</v>
      </c>
      <c r="F11" s="152">
        <f t="shared" si="1"/>
        <v>6.092067611940241</v>
      </c>
      <c r="G11" s="5"/>
    </row>
    <row r="12" spans="1:7" ht="12.75">
      <c r="A12" s="5" t="s">
        <v>112</v>
      </c>
      <c r="B12" s="148">
        <v>229609</v>
      </c>
      <c r="C12" s="148">
        <v>210910</v>
      </c>
      <c r="D12" s="148">
        <v>208301</v>
      </c>
      <c r="E12" s="148">
        <f t="shared" si="0"/>
        <v>648820</v>
      </c>
      <c r="F12" s="152">
        <f t="shared" si="1"/>
        <v>0.945543412751673</v>
      </c>
      <c r="G12" s="5"/>
    </row>
    <row r="13" spans="1:7" ht="12.75">
      <c r="A13" s="5" t="s">
        <v>62</v>
      </c>
      <c r="B13" s="148">
        <v>178046.44</v>
      </c>
      <c r="C13" s="148">
        <v>211362.64</v>
      </c>
      <c r="D13" s="148">
        <v>12235.7</v>
      </c>
      <c r="E13" s="148">
        <f t="shared" si="0"/>
        <v>401644.78</v>
      </c>
      <c r="F13" s="152">
        <f t="shared" si="1"/>
        <v>0.58532809715344</v>
      </c>
      <c r="G13" s="5"/>
    </row>
    <row r="14" spans="1:7" ht="12.75">
      <c r="A14" s="5" t="s">
        <v>432</v>
      </c>
      <c r="B14" s="148">
        <v>104752.36</v>
      </c>
      <c r="C14" s="148"/>
      <c r="D14" s="148">
        <v>952360</v>
      </c>
      <c r="E14" s="148">
        <f t="shared" si="0"/>
        <v>1057112.36</v>
      </c>
      <c r="F14" s="152">
        <f t="shared" si="1"/>
        <v>1.5405592129348282</v>
      </c>
      <c r="G14" s="5"/>
    </row>
    <row r="15" spans="1:7" ht="24" customHeight="1">
      <c r="A15" s="344" t="s">
        <v>614</v>
      </c>
      <c r="B15" s="148">
        <v>1736913.45</v>
      </c>
      <c r="C15" s="148">
        <v>1861563.65</v>
      </c>
      <c r="D15" s="148">
        <v>1025736.63</v>
      </c>
      <c r="E15" s="148">
        <f>SUM(B15:D15)</f>
        <v>4624213.7299999995</v>
      </c>
      <c r="F15" s="152">
        <f t="shared" si="1"/>
        <v>6.738995147432791</v>
      </c>
      <c r="G15" s="5"/>
    </row>
    <row r="16" spans="1:7" ht="12.75">
      <c r="A16" s="5" t="s">
        <v>213</v>
      </c>
      <c r="B16" s="148">
        <v>124167.96</v>
      </c>
      <c r="C16" s="148">
        <f>77709.18+13676.33</f>
        <v>91385.51</v>
      </c>
      <c r="D16" s="148">
        <v>240774.78</v>
      </c>
      <c r="E16" s="148">
        <f t="shared" si="0"/>
        <v>456328.25</v>
      </c>
      <c r="F16" s="152">
        <f t="shared" si="1"/>
        <v>0.6650198373046433</v>
      </c>
      <c r="G16" s="5"/>
    </row>
    <row r="17" spans="1:7" ht="12.75">
      <c r="A17" s="5" t="s">
        <v>305</v>
      </c>
      <c r="B17" s="148">
        <v>-93700.48</v>
      </c>
      <c r="C17" s="148">
        <v>-49831.25</v>
      </c>
      <c r="D17" s="148">
        <v>157606.04</v>
      </c>
      <c r="E17" s="148">
        <f t="shared" si="0"/>
        <v>14074.310000000027</v>
      </c>
      <c r="F17" s="152">
        <f t="shared" si="1"/>
        <v>0.020510883002257986</v>
      </c>
      <c r="G17" s="5"/>
    </row>
    <row r="18" spans="1:7" ht="12.75">
      <c r="A18" s="5" t="s">
        <v>214</v>
      </c>
      <c r="B18" s="148">
        <v>58460</v>
      </c>
      <c r="C18" s="148">
        <v>83060</v>
      </c>
      <c r="D18" s="148"/>
      <c r="E18" s="148">
        <f t="shared" si="0"/>
        <v>141520</v>
      </c>
      <c r="F18" s="152">
        <f t="shared" si="1"/>
        <v>0.20624102797789337</v>
      </c>
      <c r="G18" s="5"/>
    </row>
    <row r="19" spans="1:7" ht="12.75">
      <c r="A19" s="5" t="s">
        <v>533</v>
      </c>
      <c r="B19" s="148"/>
      <c r="C19" s="148">
        <v>832500</v>
      </c>
      <c r="D19" s="148"/>
      <c r="E19" s="148">
        <f t="shared" si="0"/>
        <v>832500</v>
      </c>
      <c r="F19" s="152">
        <f t="shared" si="1"/>
        <v>1.2132253800988992</v>
      </c>
      <c r="G19" s="5"/>
    </row>
    <row r="20" spans="1:7" ht="24">
      <c r="A20" s="345" t="s">
        <v>616</v>
      </c>
      <c r="B20" s="148">
        <v>84129.86</v>
      </c>
      <c r="C20" s="148">
        <v>140899.84</v>
      </c>
      <c r="D20" s="148">
        <v>15267.27</v>
      </c>
      <c r="E20" s="148">
        <f>SUM(B20:D20)</f>
        <v>240296.97</v>
      </c>
      <c r="F20" s="152">
        <f t="shared" si="1"/>
        <v>0.3501914507686052</v>
      </c>
      <c r="G20" s="5"/>
    </row>
    <row r="21" spans="1:7" ht="12.75">
      <c r="A21" s="5" t="s">
        <v>617</v>
      </c>
      <c r="B21" s="148"/>
      <c r="C21" s="148">
        <v>76560</v>
      </c>
      <c r="D21" s="148">
        <v>147320</v>
      </c>
      <c r="E21" s="148">
        <f>SUM(B21:D21)</f>
        <v>223880</v>
      </c>
      <c r="F21" s="152">
        <f t="shared" si="1"/>
        <v>0.32626654426011</v>
      </c>
      <c r="G21" s="5"/>
    </row>
    <row r="22" spans="1:7" ht="24.75" customHeight="1">
      <c r="A22" s="345" t="s">
        <v>593</v>
      </c>
      <c r="B22" s="148"/>
      <c r="C22" s="148"/>
      <c r="D22" s="148">
        <v>87000</v>
      </c>
      <c r="E22" s="148">
        <f t="shared" si="0"/>
        <v>87000</v>
      </c>
      <c r="F22" s="152">
        <f t="shared" si="1"/>
        <v>0.1267875171995246</v>
      </c>
      <c r="G22" s="5"/>
    </row>
    <row r="23" spans="1:6" ht="12.75">
      <c r="A23" s="5" t="s">
        <v>63</v>
      </c>
      <c r="B23" s="148">
        <v>703197.8</v>
      </c>
      <c r="C23" s="148">
        <v>1175487.14</v>
      </c>
      <c r="D23" s="148">
        <f>3769082.39+991</f>
        <v>3770073.39</v>
      </c>
      <c r="E23" s="148">
        <f t="shared" si="0"/>
        <v>5648758.33</v>
      </c>
      <c r="F23" s="152">
        <f t="shared" si="1"/>
        <v>8.23209245886015</v>
      </c>
    </row>
    <row r="24" spans="1:7" ht="12.75">
      <c r="A24" s="5" t="s">
        <v>249</v>
      </c>
      <c r="B24" s="148">
        <v>76936</v>
      </c>
      <c r="C24" s="148">
        <v>312662</v>
      </c>
      <c r="D24" s="148">
        <v>17400</v>
      </c>
      <c r="E24" s="148">
        <f t="shared" si="0"/>
        <v>406998</v>
      </c>
      <c r="F24" s="152">
        <f t="shared" si="1"/>
        <v>0.593129493392783</v>
      </c>
      <c r="G24" s="5"/>
    </row>
    <row r="25" spans="1:7" ht="12.75">
      <c r="A25" s="5" t="s">
        <v>417</v>
      </c>
      <c r="B25" s="148"/>
      <c r="C25" s="148">
        <v>1128400</v>
      </c>
      <c r="D25" s="148"/>
      <c r="E25" s="148">
        <f t="shared" si="0"/>
        <v>1128400</v>
      </c>
      <c r="F25" s="152">
        <f t="shared" si="1"/>
        <v>1.6444486713556732</v>
      </c>
      <c r="G25" s="5"/>
    </row>
    <row r="26" spans="1:7" ht="12.75">
      <c r="A26" s="5" t="s">
        <v>253</v>
      </c>
      <c r="B26" s="148">
        <v>189649.99</v>
      </c>
      <c r="C26" s="148">
        <v>202130</v>
      </c>
      <c r="D26" s="148">
        <v>80620</v>
      </c>
      <c r="E26" s="148">
        <f t="shared" si="0"/>
        <v>472399.99</v>
      </c>
      <c r="F26" s="152">
        <f t="shared" si="1"/>
        <v>0.6884416305423018</v>
      </c>
      <c r="G26" s="290"/>
    </row>
    <row r="27" spans="1:7" ht="12.75">
      <c r="A27" s="5" t="s">
        <v>606</v>
      </c>
      <c r="B27" s="148">
        <v>905501.2</v>
      </c>
      <c r="C27" s="148">
        <v>3344481.43</v>
      </c>
      <c r="D27" s="148">
        <v>1107290.18</v>
      </c>
      <c r="E27" s="148">
        <f>SUM(B27:D27)</f>
        <v>5357272.81</v>
      </c>
      <c r="F27" s="152">
        <f t="shared" si="1"/>
        <v>7.807302511958857</v>
      </c>
      <c r="G27" s="290"/>
    </row>
    <row r="28" spans="1:7" ht="12.75">
      <c r="A28" s="5" t="s">
        <v>64</v>
      </c>
      <c r="B28" s="148">
        <v>6644751</v>
      </c>
      <c r="C28" s="148">
        <f>187480+6447063</f>
        <v>6634543</v>
      </c>
      <c r="D28" s="148"/>
      <c r="E28" s="148">
        <f t="shared" si="0"/>
        <v>13279294</v>
      </c>
      <c r="F28" s="152">
        <f t="shared" si="1"/>
        <v>19.352284096810852</v>
      </c>
      <c r="G28" s="5"/>
    </row>
    <row r="29" spans="1:8" ht="12.75">
      <c r="A29" s="5" t="s">
        <v>108</v>
      </c>
      <c r="B29" s="148">
        <v>63336</v>
      </c>
      <c r="C29" s="148">
        <v>34672.4</v>
      </c>
      <c r="D29" s="148"/>
      <c r="E29" s="148">
        <f t="shared" si="0"/>
        <v>98008.4</v>
      </c>
      <c r="F29" s="152">
        <f t="shared" si="1"/>
        <v>0.1428303643758378</v>
      </c>
      <c r="G29" s="5"/>
      <c r="H29" s="148"/>
    </row>
    <row r="30" spans="1:8" ht="12.75">
      <c r="A30" s="5" t="s">
        <v>376</v>
      </c>
      <c r="B30" s="148">
        <v>241067.98</v>
      </c>
      <c r="C30" s="148">
        <v>187153.63</v>
      </c>
      <c r="D30" s="148">
        <v>12080.81</v>
      </c>
      <c r="E30" s="148">
        <f t="shared" si="0"/>
        <v>440302.42</v>
      </c>
      <c r="F30" s="152">
        <f t="shared" si="1"/>
        <v>0.6416649499855437</v>
      </c>
      <c r="G30" s="5"/>
      <c r="H30" s="148"/>
    </row>
    <row r="31" spans="1:7" ht="12.75">
      <c r="A31" s="5" t="s">
        <v>411</v>
      </c>
      <c r="B31" s="148"/>
      <c r="C31" s="148">
        <v>1556250</v>
      </c>
      <c r="D31" s="148"/>
      <c r="E31" s="148">
        <f t="shared" si="0"/>
        <v>1556250</v>
      </c>
      <c r="F31" s="152">
        <f t="shared" si="1"/>
        <v>2.2679663636983927</v>
      </c>
      <c r="G31" s="5"/>
    </row>
    <row r="32" spans="1:8" ht="12.75">
      <c r="A32" s="5" t="s">
        <v>511</v>
      </c>
      <c r="B32" s="148">
        <v>111082.71</v>
      </c>
      <c r="C32" s="148">
        <v>31934.66</v>
      </c>
      <c r="D32" s="148"/>
      <c r="E32" s="148">
        <f t="shared" si="0"/>
        <v>143017.37</v>
      </c>
      <c r="F32" s="152">
        <f t="shared" si="1"/>
        <v>0.20842318688167558</v>
      </c>
      <c r="G32" s="5"/>
      <c r="H32" s="148"/>
    </row>
    <row r="33" spans="1:8" ht="12.75">
      <c r="A33" s="5" t="s">
        <v>510</v>
      </c>
      <c r="B33" s="148">
        <v>102750</v>
      </c>
      <c r="C33" s="148">
        <v>104250</v>
      </c>
      <c r="D33" s="148">
        <v>295875</v>
      </c>
      <c r="E33" s="148">
        <f t="shared" si="0"/>
        <v>502875</v>
      </c>
      <c r="F33" s="152">
        <f t="shared" si="1"/>
        <v>0.7328537093300108</v>
      </c>
      <c r="G33" s="5"/>
      <c r="H33" s="148"/>
    </row>
    <row r="34" spans="1:7" ht="12.75">
      <c r="A34" s="5" t="s">
        <v>65</v>
      </c>
      <c r="B34" s="148">
        <v>468004.93</v>
      </c>
      <c r="C34" s="148">
        <v>425051.21</v>
      </c>
      <c r="D34" s="148">
        <v>4695.45</v>
      </c>
      <c r="E34" s="148">
        <f t="shared" si="0"/>
        <v>897751.59</v>
      </c>
      <c r="F34" s="152">
        <f t="shared" si="1"/>
        <v>1.308318335149719</v>
      </c>
      <c r="G34" s="5"/>
    </row>
    <row r="35" spans="1:8" ht="12.75">
      <c r="A35" s="5" t="s">
        <v>276</v>
      </c>
      <c r="B35" s="148">
        <v>742700</v>
      </c>
      <c r="C35" s="148">
        <v>802242</v>
      </c>
      <c r="D35" s="148"/>
      <c r="E35" s="148">
        <f t="shared" si="0"/>
        <v>1544942</v>
      </c>
      <c r="F35" s="152">
        <f t="shared" si="1"/>
        <v>2.2514869011180223</v>
      </c>
      <c r="G35" s="5"/>
      <c r="H35" s="148"/>
    </row>
    <row r="36" spans="1:8" ht="12.75">
      <c r="A36" s="5" t="s">
        <v>66</v>
      </c>
      <c r="B36" s="148">
        <v>676524</v>
      </c>
      <c r="C36" s="148">
        <v>176135</v>
      </c>
      <c r="D36" s="148">
        <v>707242</v>
      </c>
      <c r="E36" s="148">
        <f>SUM(B36:D36)</f>
        <v>1559901</v>
      </c>
      <c r="F36" s="152">
        <f t="shared" si="1"/>
        <v>2.2732870674374213</v>
      </c>
      <c r="G36" s="5"/>
      <c r="H36" s="148"/>
    </row>
    <row r="37" spans="1:8" ht="12.75">
      <c r="A37" s="5" t="s">
        <v>240</v>
      </c>
      <c r="B37" s="148">
        <v>5431</v>
      </c>
      <c r="C37" s="148"/>
      <c r="D37" s="148"/>
      <c r="E37" s="148">
        <f t="shared" si="0"/>
        <v>5431</v>
      </c>
      <c r="F37" s="152">
        <f t="shared" si="1"/>
        <v>0.00791474719437492</v>
      </c>
      <c r="G37" s="5"/>
      <c r="H37" s="148"/>
    </row>
    <row r="38" spans="1:8" ht="12.75">
      <c r="A38" s="5" t="s">
        <v>482</v>
      </c>
      <c r="B38" s="148">
        <v>12937</v>
      </c>
      <c r="C38" s="148">
        <v>16371</v>
      </c>
      <c r="D38" s="148"/>
      <c r="E38" s="148">
        <f t="shared" si="0"/>
        <v>29308</v>
      </c>
      <c r="F38" s="152">
        <f t="shared" si="1"/>
        <v>0.042711362690616865</v>
      </c>
      <c r="G38" s="5"/>
      <c r="H38" s="148"/>
    </row>
    <row r="39" spans="1:8" ht="12.75">
      <c r="A39" s="5" t="s">
        <v>220</v>
      </c>
      <c r="B39" s="148">
        <v>148750</v>
      </c>
      <c r="C39" s="148">
        <v>114056.66</v>
      </c>
      <c r="D39" s="148"/>
      <c r="E39" s="148">
        <f t="shared" si="0"/>
        <v>262806.66000000003</v>
      </c>
      <c r="F39" s="152">
        <f t="shared" si="1"/>
        <v>0.3829954474126393</v>
      </c>
      <c r="G39" s="5"/>
      <c r="H39" s="148"/>
    </row>
    <row r="40" spans="1:8" ht="12.75">
      <c r="A40" s="5" t="s">
        <v>509</v>
      </c>
      <c r="B40" s="148">
        <v>26089.05</v>
      </c>
      <c r="C40" s="148">
        <v>9166.49</v>
      </c>
      <c r="D40" s="148"/>
      <c r="E40" s="148">
        <f t="shared" si="0"/>
        <v>35255.54</v>
      </c>
      <c r="F40" s="152">
        <f t="shared" si="1"/>
        <v>0.05137887797848883</v>
      </c>
      <c r="G40" s="5"/>
      <c r="H40" s="148"/>
    </row>
    <row r="41" spans="1:7" ht="12.75">
      <c r="A41" s="5" t="s">
        <v>67</v>
      </c>
      <c r="B41" s="148">
        <v>161525</v>
      </c>
      <c r="C41" s="148">
        <f>90445.01+127499.08</f>
        <v>217944.09</v>
      </c>
      <c r="D41" s="148">
        <v>3048624</v>
      </c>
      <c r="E41" s="148">
        <f t="shared" si="0"/>
        <v>3428093.09</v>
      </c>
      <c r="F41" s="152">
        <f t="shared" si="1"/>
        <v>4.995855305861453</v>
      </c>
      <c r="G41" s="5"/>
    </row>
    <row r="42" spans="1:7" ht="12.75">
      <c r="A42" s="5" t="s">
        <v>594</v>
      </c>
      <c r="B42" s="148">
        <f>978837+126382</f>
        <v>1105219</v>
      </c>
      <c r="C42" s="148">
        <f>2572885.4+221926.56+248303.8+207549.52+153700+219124+125419+266939.2+172052.36+229699.72+36400</f>
        <v>4453999.56</v>
      </c>
      <c r="E42" s="148">
        <f>SUM(B42:D42)</f>
        <v>5559218.56</v>
      </c>
      <c r="F42" s="152">
        <f t="shared" si="1"/>
        <v>8.1016036642749</v>
      </c>
      <c r="G42" s="5"/>
    </row>
    <row r="43" spans="1:8" ht="12.75">
      <c r="A43" s="5" t="s">
        <v>615</v>
      </c>
      <c r="B43" s="148"/>
      <c r="C43" s="148"/>
      <c r="D43" s="148">
        <v>178392.97</v>
      </c>
      <c r="E43" s="148">
        <f t="shared" si="0"/>
        <v>178392.97</v>
      </c>
      <c r="F43" s="152">
        <f t="shared" si="1"/>
        <v>0.25997703163389974</v>
      </c>
      <c r="G43" s="5"/>
      <c r="H43" s="148"/>
    </row>
    <row r="44" spans="1:8" ht="12.75">
      <c r="A44" s="5" t="s">
        <v>191</v>
      </c>
      <c r="B44" s="148">
        <v>10333.43</v>
      </c>
      <c r="C44" s="148"/>
      <c r="D44" s="148"/>
      <c r="E44" s="148">
        <f t="shared" si="0"/>
        <v>10333.43</v>
      </c>
      <c r="F44" s="152">
        <f t="shared" si="1"/>
        <v>0.015059194642012455</v>
      </c>
      <c r="G44" s="5"/>
      <c r="H44" s="148"/>
    </row>
    <row r="45" spans="1:6" ht="12.75">
      <c r="A45" s="5" t="s">
        <v>483</v>
      </c>
      <c r="B45" s="148"/>
      <c r="C45" s="148">
        <v>986000</v>
      </c>
      <c r="D45" s="148"/>
      <c r="E45" s="148">
        <f t="shared" si="0"/>
        <v>986000</v>
      </c>
      <c r="F45" s="152">
        <f t="shared" si="1"/>
        <v>1.4369251949279456</v>
      </c>
    </row>
    <row r="46" spans="1:6" ht="12.75">
      <c r="A46" s="5" t="s">
        <v>644</v>
      </c>
      <c r="B46" s="148">
        <v>840000</v>
      </c>
      <c r="C46" s="148">
        <v>840000</v>
      </c>
      <c r="D46" s="148"/>
      <c r="E46" s="148">
        <f t="shared" si="0"/>
        <v>1680000</v>
      </c>
      <c r="F46" s="152">
        <f t="shared" si="1"/>
        <v>2.4483106769563374</v>
      </c>
    </row>
    <row r="47" spans="1:6" ht="12.75">
      <c r="A47" s="5" t="s">
        <v>352</v>
      </c>
      <c r="B47" s="148">
        <v>20240.46</v>
      </c>
      <c r="C47" s="148">
        <v>9187.2</v>
      </c>
      <c r="D47" s="148"/>
      <c r="E47" s="148">
        <f t="shared" si="0"/>
        <v>29427.66</v>
      </c>
      <c r="F47" s="152">
        <f t="shared" si="1"/>
        <v>0.04288574653323865</v>
      </c>
    </row>
    <row r="48" spans="1:6" ht="12.75">
      <c r="A48" s="5" t="s">
        <v>534</v>
      </c>
      <c r="B48" s="148"/>
      <c r="C48" s="148">
        <v>23200</v>
      </c>
      <c r="D48" s="148">
        <v>9686.68</v>
      </c>
      <c r="E48" s="148">
        <f t="shared" si="0"/>
        <v>32886.68</v>
      </c>
      <c r="F48" s="152">
        <f t="shared" si="1"/>
        <v>0.04792667248431336</v>
      </c>
    </row>
    <row r="49" spans="1:6" ht="7.5" customHeight="1">
      <c r="A49" s="5"/>
      <c r="B49" s="148"/>
      <c r="C49" s="148"/>
      <c r="D49" s="148"/>
      <c r="E49" s="148"/>
      <c r="F49" s="152"/>
    </row>
    <row r="50" spans="1:6" ht="13.5" thickBot="1">
      <c r="A50" s="64" t="s">
        <v>95</v>
      </c>
      <c r="B50" s="151">
        <f>SUM(B9:B49)</f>
        <v>22267691.110000003</v>
      </c>
      <c r="C50" s="151">
        <f>SUM(C9:C49)</f>
        <v>29533622.649999995</v>
      </c>
      <c r="D50" s="151">
        <f>SUM(D9:D49)</f>
        <v>16817428.779999997</v>
      </c>
      <c r="E50" s="151">
        <f>SUM(E9:E49)</f>
        <v>68618742.53999999</v>
      </c>
      <c r="F50" s="151">
        <f>SUM(F9:F49)</f>
        <v>100.00000000000003</v>
      </c>
    </row>
    <row r="51" spans="1:6" ht="13.5" thickTop="1">
      <c r="A51" s="16"/>
      <c r="B51" s="102"/>
      <c r="C51" s="102"/>
      <c r="D51" s="102"/>
      <c r="E51" s="102"/>
      <c r="F51" s="154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7874015748031497" header="0" footer="0.3937007874015748"/>
  <pageSetup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="125" zoomScaleNormal="125" zoomScalePageLayoutView="0" workbookViewId="0" topLeftCell="A1">
      <selection activeCell="D22" sqref="D22"/>
    </sheetView>
  </sheetViews>
  <sheetFormatPr defaultColWidth="11.421875" defaultRowHeight="12.75"/>
  <cols>
    <col min="1" max="1" width="36.8515625" style="1" customWidth="1"/>
    <col min="2" max="2" width="12.28125" style="22" customWidth="1"/>
    <col min="3" max="3" width="12.421875" style="22" customWidth="1"/>
    <col min="4" max="4" width="12.140625" style="22" customWidth="1"/>
    <col min="5" max="5" width="11.8515625" style="22" customWidth="1"/>
    <col min="6" max="6" width="6.57421875" style="1" customWidth="1"/>
    <col min="7" max="7" width="2.57421875" style="1" customWidth="1"/>
    <col min="8" max="16384" width="11.421875" style="1" customWidth="1"/>
  </cols>
  <sheetData>
    <row r="1" spans="1:6" s="205" customFormat="1" ht="12.75">
      <c r="A1" s="202"/>
      <c r="B1" s="203"/>
      <c r="C1" s="203"/>
      <c r="D1" s="203"/>
      <c r="E1" s="352" t="s">
        <v>16</v>
      </c>
      <c r="F1" s="352"/>
    </row>
    <row r="2" spans="1:6" s="205" customFormat="1" ht="12.75">
      <c r="A2" s="351" t="s">
        <v>260</v>
      </c>
      <c r="B2" s="351"/>
      <c r="C2" s="351"/>
      <c r="D2" s="351"/>
      <c r="E2" s="351"/>
      <c r="F2" s="351"/>
    </row>
    <row r="3" spans="1:6" s="205" customFormat="1" ht="12.75">
      <c r="A3" s="353" t="s">
        <v>359</v>
      </c>
      <c r="B3" s="353"/>
      <c r="C3" s="353"/>
      <c r="D3" s="353"/>
      <c r="E3" s="353"/>
      <c r="F3" s="353"/>
    </row>
    <row r="4" spans="1:6" s="205" customFormat="1" ht="12.75">
      <c r="A4" s="351" t="s">
        <v>340</v>
      </c>
      <c r="B4" s="351"/>
      <c r="C4" s="351"/>
      <c r="D4" s="351"/>
      <c r="E4" s="351"/>
      <c r="F4" s="351"/>
    </row>
    <row r="5" spans="1:7" s="212" customFormat="1" ht="12.75">
      <c r="A5" s="351" t="s">
        <v>508</v>
      </c>
      <c r="B5" s="351"/>
      <c r="C5" s="351"/>
      <c r="D5" s="351"/>
      <c r="E5" s="351"/>
      <c r="F5" s="351"/>
      <c r="G5" s="211"/>
    </row>
    <row r="6" spans="1:7" ht="18.75" customHeight="1">
      <c r="A6" s="16"/>
      <c r="B6" s="16"/>
      <c r="C6" s="16"/>
      <c r="D6" s="16"/>
      <c r="E6" s="16"/>
      <c r="F6" s="16"/>
      <c r="G6" s="35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ht="9" customHeight="1"/>
    <row r="9" spans="1:7" ht="15" customHeight="1">
      <c r="A9" s="5" t="s">
        <v>165</v>
      </c>
      <c r="B9" s="148">
        <f>'G.C.Op'!B121</f>
        <v>29208192.060000002</v>
      </c>
      <c r="C9" s="148">
        <f>'G.C.Op'!C121</f>
        <v>86763553.72999999</v>
      </c>
      <c r="D9" s="148">
        <f>'G.C.Op'!D121</f>
        <v>5676622.3</v>
      </c>
      <c r="E9" s="148">
        <f aca="true" t="shared" si="0" ref="E9:E15">SUM(B9:D9)</f>
        <v>121648368.08999999</v>
      </c>
      <c r="F9" s="152">
        <f aca="true" t="shared" si="1" ref="F9:F15">(E9/$E$17)*100</f>
        <v>60.85000159016219</v>
      </c>
      <c r="G9" s="58"/>
    </row>
    <row r="10" spans="1:7" ht="15" customHeight="1">
      <c r="A10" s="5" t="s">
        <v>120</v>
      </c>
      <c r="B10" s="148">
        <f>'G.C.Viat'!B53</f>
        <v>410881.1</v>
      </c>
      <c r="C10" s="148">
        <f>'G.C.Viat'!C53</f>
        <v>93414.83</v>
      </c>
      <c r="D10" s="148">
        <f>'G.C.Viat'!D53</f>
        <v>103572.48000000001</v>
      </c>
      <c r="E10" s="148">
        <f t="shared" si="0"/>
        <v>607868.41</v>
      </c>
      <c r="F10" s="152">
        <f t="shared" si="1"/>
        <v>0.3040632134723227</v>
      </c>
      <c r="G10" s="58"/>
    </row>
    <row r="11" spans="1:7" ht="15" customHeight="1">
      <c r="A11" s="5" t="s">
        <v>386</v>
      </c>
      <c r="B11" s="148">
        <f>'G.C.Ing.Prop'!B113</f>
        <v>15776981.389999999</v>
      </c>
      <c r="C11" s="148">
        <f>'G.C.Ing.Prop'!C113</f>
        <v>17406539.3</v>
      </c>
      <c r="D11" s="148">
        <f>'G.C.Ing.Prop'!D113</f>
        <v>9232397.21</v>
      </c>
      <c r="E11" s="148">
        <f t="shared" si="0"/>
        <v>42415917.9</v>
      </c>
      <c r="F11" s="152">
        <f t="shared" si="1"/>
        <v>21.216960919308526</v>
      </c>
      <c r="G11" s="58"/>
    </row>
    <row r="12" spans="1:7" ht="15" customHeight="1">
      <c r="A12" s="5" t="s">
        <v>121</v>
      </c>
      <c r="B12" s="148">
        <f>'G.C.Donat'!B23</f>
        <v>3919459.9299999997</v>
      </c>
      <c r="C12" s="148">
        <f>'G.C.Donat'!C23</f>
        <v>2329006.43</v>
      </c>
      <c r="D12" s="148">
        <f>'G.C.Donat'!D23</f>
        <v>0</v>
      </c>
      <c r="E12" s="148">
        <f t="shared" si="0"/>
        <v>6248466.359999999</v>
      </c>
      <c r="F12" s="152">
        <f t="shared" si="1"/>
        <v>3.125559297768586</v>
      </c>
      <c r="G12" s="58"/>
    </row>
    <row r="13" spans="1:7" ht="15" customHeight="1">
      <c r="A13" s="5" t="s">
        <v>166</v>
      </c>
      <c r="B13" s="148">
        <f>'G.C.Etiq'!B13</f>
        <v>17048476.11</v>
      </c>
      <c r="C13" s="148">
        <f>'G.C.Etiq'!C13</f>
        <v>4130633.2800000003</v>
      </c>
      <c r="D13" s="148">
        <f>'G.C.Etiq'!D13</f>
        <v>0</v>
      </c>
      <c r="E13" s="148">
        <f t="shared" si="0"/>
        <v>21179109.39</v>
      </c>
      <c r="F13" s="152">
        <f t="shared" si="1"/>
        <v>10.594049556885583</v>
      </c>
      <c r="G13" s="58"/>
    </row>
    <row r="14" spans="1:7" ht="15" customHeight="1">
      <c r="A14" s="5" t="s">
        <v>424</v>
      </c>
      <c r="B14" s="148">
        <f>'G.C.PROFAPI'!B13</f>
        <v>0</v>
      </c>
      <c r="C14" s="148">
        <f>'G.C.PROFAPI'!C13</f>
        <v>-115000</v>
      </c>
      <c r="D14" s="148">
        <f>'G.C.PROFAPI'!D13</f>
        <v>0</v>
      </c>
      <c r="E14" s="148">
        <f>SUM(B14:D14)</f>
        <v>-115000</v>
      </c>
      <c r="F14" s="152">
        <f>(E14/$E$17)*100</f>
        <v>-0.057524406555881244</v>
      </c>
      <c r="G14" s="58"/>
    </row>
    <row r="15" spans="1:7" ht="15" customHeight="1">
      <c r="A15" s="5" t="s">
        <v>498</v>
      </c>
      <c r="B15" s="148">
        <f>'G.C.PROY.ESP'!B20</f>
        <v>4639820.36</v>
      </c>
      <c r="C15" s="148">
        <f>'G.C.PROY.ESP'!C20</f>
        <v>3290593.14</v>
      </c>
      <c r="D15" s="148">
        <f>'G.C.PROY.ESP'!D20</f>
        <v>0</v>
      </c>
      <c r="E15" s="148">
        <f t="shared" si="0"/>
        <v>7930413.5</v>
      </c>
      <c r="F15" s="152">
        <f t="shared" si="1"/>
        <v>3.9668898289586885</v>
      </c>
      <c r="G15" s="58"/>
    </row>
    <row r="16" spans="1:7" ht="9" customHeight="1">
      <c r="A16" s="5"/>
      <c r="B16" s="148"/>
      <c r="C16" s="148"/>
      <c r="D16" s="148"/>
      <c r="E16" s="148"/>
      <c r="F16" s="152"/>
      <c r="G16" s="58"/>
    </row>
    <row r="17" spans="1:7" ht="15" customHeight="1" thickBot="1">
      <c r="A17" s="64" t="s">
        <v>95</v>
      </c>
      <c r="B17" s="151">
        <f>SUM(B9:B15)</f>
        <v>71003810.95</v>
      </c>
      <c r="C17" s="151">
        <f>SUM(C9:C15)</f>
        <v>113898740.71</v>
      </c>
      <c r="D17" s="151">
        <f>SUM(D9:D15)</f>
        <v>15012591.990000002</v>
      </c>
      <c r="E17" s="151">
        <f>SUM(E9:E15)</f>
        <v>199915143.64999998</v>
      </c>
      <c r="F17" s="151">
        <f>SUM(F9:F15)</f>
        <v>100.00000000000001</v>
      </c>
      <c r="G17" s="58" t="s">
        <v>22</v>
      </c>
    </row>
    <row r="18" spans="1:7" ht="13.5" thickTop="1">
      <c r="A18" s="16"/>
      <c r="B18" s="102"/>
      <c r="C18" s="102"/>
      <c r="D18" s="102"/>
      <c r="E18" s="102"/>
      <c r="F18" s="154"/>
      <c r="G18" s="57"/>
    </row>
    <row r="33" ht="12.75">
      <c r="A33" s="8"/>
    </row>
    <row r="36" ht="12.75">
      <c r="A36" s="8" t="s">
        <v>50</v>
      </c>
    </row>
    <row r="37" ht="8.25" customHeight="1">
      <c r="A37" s="59"/>
    </row>
    <row r="38" spans="1:5" s="225" customFormat="1" ht="12">
      <c r="A38" s="73" t="s">
        <v>457</v>
      </c>
      <c r="B38" s="248"/>
      <c r="C38" s="248"/>
      <c r="D38" s="248"/>
      <c r="E38" s="248"/>
    </row>
    <row r="51" ht="12.75">
      <c r="A51" s="8"/>
    </row>
    <row r="52" spans="1:7" ht="12.75">
      <c r="A52" s="357"/>
      <c r="B52" s="358"/>
      <c r="C52" s="358"/>
      <c r="D52" s="358"/>
      <c r="E52" s="358"/>
      <c r="F52" s="358"/>
      <c r="G52" s="358"/>
    </row>
  </sheetData>
  <sheetProtection/>
  <mergeCells count="6">
    <mergeCell ref="A52:G52"/>
    <mergeCell ref="E1:F1"/>
    <mergeCell ref="A2:F2"/>
    <mergeCell ref="A3:F3"/>
    <mergeCell ref="A4:F4"/>
    <mergeCell ref="A5:F5"/>
  </mergeCells>
  <printOptions/>
  <pageMargins left="0.8661417322834646" right="0.5905511811023623" top="0.7874015748031497" bottom="0.984251968503937" header="0" footer="0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0"/>
  <sheetViews>
    <sheetView zoomScale="125" zoomScaleNormal="125" zoomScalePageLayoutView="0" workbookViewId="0" topLeftCell="A1">
      <selection activeCell="E126" sqref="E126"/>
    </sheetView>
  </sheetViews>
  <sheetFormatPr defaultColWidth="11.421875" defaultRowHeight="12.75"/>
  <cols>
    <col min="1" max="1" width="46.8515625" style="1" customWidth="1"/>
    <col min="2" max="4" width="11.140625" style="22" customWidth="1"/>
    <col min="5" max="5" width="11.7109375" style="22" customWidth="1"/>
    <col min="6" max="6" width="6.8515625" style="1" customWidth="1"/>
    <col min="7" max="7" width="2.7109375" style="1" customWidth="1"/>
    <col min="8" max="8" width="11.421875" style="1" customWidth="1"/>
    <col min="9" max="9" width="12.00390625" style="1" bestFit="1" customWidth="1"/>
    <col min="10" max="16384" width="11.421875" style="1" customWidth="1"/>
  </cols>
  <sheetData>
    <row r="1" spans="1:6" s="205" customFormat="1" ht="12.75">
      <c r="A1" s="202"/>
      <c r="B1" s="203"/>
      <c r="C1" s="203"/>
      <c r="D1" s="203"/>
      <c r="E1" s="352" t="s">
        <v>114</v>
      </c>
      <c r="F1" s="352"/>
    </row>
    <row r="2" spans="1:6" s="205" customFormat="1" ht="12.75">
      <c r="A2" s="351" t="s">
        <v>260</v>
      </c>
      <c r="B2" s="351"/>
      <c r="C2" s="351"/>
      <c r="D2" s="351"/>
      <c r="E2" s="351"/>
      <c r="F2" s="351"/>
    </row>
    <row r="3" spans="1:6" s="205" customFormat="1" ht="12.75">
      <c r="A3" s="353" t="s">
        <v>359</v>
      </c>
      <c r="B3" s="353"/>
      <c r="C3" s="353"/>
      <c r="D3" s="353"/>
      <c r="E3" s="353"/>
      <c r="F3" s="353"/>
    </row>
    <row r="4" spans="1:6" s="205" customFormat="1" ht="12.75">
      <c r="A4" s="351" t="s">
        <v>270</v>
      </c>
      <c r="B4" s="351"/>
      <c r="C4" s="351"/>
      <c r="D4" s="351"/>
      <c r="E4" s="351"/>
      <c r="F4" s="351"/>
    </row>
    <row r="5" spans="1:7" s="212" customFormat="1" ht="12.75">
      <c r="A5" s="351" t="s">
        <v>508</v>
      </c>
      <c r="B5" s="351"/>
      <c r="C5" s="351"/>
      <c r="D5" s="351"/>
      <c r="E5" s="351"/>
      <c r="F5" s="351"/>
      <c r="G5" s="211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ht="9" customHeight="1"/>
    <row r="9" spans="1:9" ht="12" customHeight="1">
      <c r="A9" s="1" t="s">
        <v>68</v>
      </c>
      <c r="B9" s="155">
        <f>45000+20000</f>
        <v>65000</v>
      </c>
      <c r="C9" s="123">
        <f>35000+45124</f>
        <v>80124</v>
      </c>
      <c r="D9" s="155">
        <f>35000+26971</f>
        <v>61971</v>
      </c>
      <c r="E9" s="123">
        <f aca="true" t="shared" si="0" ref="E9:E75">SUM(B9:D9)</f>
        <v>207095</v>
      </c>
      <c r="F9" s="124">
        <f aca="true" t="shared" si="1" ref="F9:F42">(E9/$E$121*100)</f>
        <v>0.17024067256437292</v>
      </c>
      <c r="H9" s="155"/>
      <c r="I9" s="155"/>
    </row>
    <row r="10" spans="1:9" ht="12" customHeight="1">
      <c r="A10" s="1" t="s">
        <v>318</v>
      </c>
      <c r="B10" s="155">
        <f>20000+35000-13655</f>
        <v>41345</v>
      </c>
      <c r="C10" s="155">
        <f>20000+35000</f>
        <v>55000</v>
      </c>
      <c r="D10" s="155"/>
      <c r="E10" s="123">
        <f t="shared" si="0"/>
        <v>96345</v>
      </c>
      <c r="F10" s="124">
        <f t="shared" si="1"/>
        <v>0.07919958279154257</v>
      </c>
      <c r="H10" s="155"/>
      <c r="I10" s="155"/>
    </row>
    <row r="11" spans="1:9" ht="12" customHeight="1">
      <c r="A11" s="7" t="s">
        <v>645</v>
      </c>
      <c r="B11" s="155">
        <v>25000</v>
      </c>
      <c r="C11" s="155">
        <v>25000</v>
      </c>
      <c r="D11" s="155">
        <v>25000</v>
      </c>
      <c r="E11" s="123">
        <f t="shared" si="0"/>
        <v>75000</v>
      </c>
      <c r="F11" s="124">
        <f t="shared" si="1"/>
        <v>0.06165310819830498</v>
      </c>
      <c r="I11" s="155"/>
    </row>
    <row r="12" spans="1:9" ht="12" customHeight="1">
      <c r="A12" s="1" t="s">
        <v>427</v>
      </c>
      <c r="B12" s="155">
        <f>80000+110040.94</f>
        <v>190040.94</v>
      </c>
      <c r="C12" s="155">
        <f>90000+123000</f>
        <v>213000</v>
      </c>
      <c r="D12" s="155">
        <v>80000</v>
      </c>
      <c r="E12" s="123">
        <f t="shared" si="0"/>
        <v>483040.94</v>
      </c>
      <c r="F12" s="124">
        <f t="shared" si="1"/>
        <v>0.39707967117374593</v>
      </c>
      <c r="I12" s="155"/>
    </row>
    <row r="13" spans="1:6" ht="12" customHeight="1">
      <c r="A13" s="1" t="s">
        <v>162</v>
      </c>
      <c r="B13" s="155">
        <f>27000+37000</f>
        <v>64000</v>
      </c>
      <c r="C13" s="155">
        <f>27000+30000</f>
        <v>57000</v>
      </c>
      <c r="D13" s="155">
        <f>20000+30000</f>
        <v>50000</v>
      </c>
      <c r="E13" s="123">
        <f t="shared" si="0"/>
        <v>171000</v>
      </c>
      <c r="F13" s="124">
        <f t="shared" si="1"/>
        <v>0.14056908669213536</v>
      </c>
    </row>
    <row r="14" spans="1:6" ht="12" customHeight="1">
      <c r="A14" s="1" t="s">
        <v>319</v>
      </c>
      <c r="B14" s="148">
        <f>5000+3000</f>
        <v>8000</v>
      </c>
      <c r="C14" s="155">
        <v>5000</v>
      </c>
      <c r="D14" s="148">
        <v>5000</v>
      </c>
      <c r="E14" s="123">
        <f t="shared" si="0"/>
        <v>18000</v>
      </c>
      <c r="F14" s="124">
        <f t="shared" si="1"/>
        <v>0.014796745967593193</v>
      </c>
    </row>
    <row r="15" spans="1:6" ht="12" customHeight="1">
      <c r="A15" s="1" t="s">
        <v>320</v>
      </c>
      <c r="B15" s="155">
        <v>17000</v>
      </c>
      <c r="C15" s="155">
        <v>17000</v>
      </c>
      <c r="D15" s="155">
        <v>20000</v>
      </c>
      <c r="E15" s="123">
        <f t="shared" si="0"/>
        <v>54000</v>
      </c>
      <c r="F15" s="124">
        <f t="shared" si="1"/>
        <v>0.044390237902779586</v>
      </c>
    </row>
    <row r="16" spans="1:6" ht="12" customHeight="1">
      <c r="A16" s="6" t="s">
        <v>284</v>
      </c>
      <c r="B16" s="155">
        <v>22000</v>
      </c>
      <c r="C16" s="155">
        <f>22000+15000</f>
        <v>37000</v>
      </c>
      <c r="D16" s="155">
        <v>22000</v>
      </c>
      <c r="E16" s="123">
        <f t="shared" si="0"/>
        <v>81000</v>
      </c>
      <c r="F16" s="124">
        <f t="shared" si="1"/>
        <v>0.06658535685416937</v>
      </c>
    </row>
    <row r="17" spans="1:6" ht="12" customHeight="1">
      <c r="A17" s="6" t="s">
        <v>203</v>
      </c>
      <c r="B17" s="155">
        <v>5000</v>
      </c>
      <c r="C17" s="155">
        <v>5000</v>
      </c>
      <c r="D17" s="155">
        <v>5000</v>
      </c>
      <c r="E17" s="123">
        <f t="shared" si="0"/>
        <v>15000</v>
      </c>
      <c r="F17" s="124">
        <f t="shared" si="1"/>
        <v>0.012330621639660998</v>
      </c>
    </row>
    <row r="18" spans="1:6" ht="12" customHeight="1">
      <c r="A18" s="6" t="s">
        <v>69</v>
      </c>
      <c r="B18" s="155">
        <v>10000</v>
      </c>
      <c r="C18" s="155">
        <v>10000</v>
      </c>
      <c r="D18" s="155">
        <f>10000+12611</f>
        <v>22611</v>
      </c>
      <c r="E18" s="123">
        <f t="shared" si="0"/>
        <v>42611</v>
      </c>
      <c r="F18" s="124">
        <f t="shared" si="1"/>
        <v>0.03502800791250631</v>
      </c>
    </row>
    <row r="19" spans="1:6" ht="12" customHeight="1">
      <c r="A19" s="6" t="s">
        <v>70</v>
      </c>
      <c r="B19" s="155">
        <v>10000</v>
      </c>
      <c r="C19" s="155">
        <v>10000</v>
      </c>
      <c r="E19" s="123">
        <f t="shared" si="0"/>
        <v>20000</v>
      </c>
      <c r="F19" s="124">
        <f t="shared" si="1"/>
        <v>0.01644082885288133</v>
      </c>
    </row>
    <row r="20" spans="1:6" ht="12" customHeight="1">
      <c r="A20" s="6" t="s">
        <v>595</v>
      </c>
      <c r="B20" s="155">
        <v>4000</v>
      </c>
      <c r="C20" s="155">
        <v>8000</v>
      </c>
      <c r="D20" s="155">
        <v>2000</v>
      </c>
      <c r="E20" s="123">
        <f>SUM(B20:D20)</f>
        <v>14000</v>
      </c>
      <c r="F20" s="124">
        <f t="shared" si="1"/>
        <v>0.01150858019701693</v>
      </c>
    </row>
    <row r="21" spans="1:6" ht="12" customHeight="1">
      <c r="A21" s="6" t="s">
        <v>358</v>
      </c>
      <c r="B21" s="155">
        <v>8964.48</v>
      </c>
      <c r="C21" s="155">
        <v>8964.48</v>
      </c>
      <c r="D21" s="155">
        <v>8964.48</v>
      </c>
      <c r="E21" s="123">
        <f t="shared" si="0"/>
        <v>26893.44</v>
      </c>
      <c r="F21" s="124">
        <f t="shared" si="1"/>
        <v>0.02210752221526164</v>
      </c>
    </row>
    <row r="22" spans="1:6" ht="12" customHeight="1">
      <c r="A22" s="6" t="s">
        <v>167</v>
      </c>
      <c r="B22" s="155">
        <f>8000+37000</f>
        <v>45000</v>
      </c>
      <c r="C22" s="155">
        <v>12000</v>
      </c>
      <c r="D22" s="155">
        <f>8000+37000</f>
        <v>45000</v>
      </c>
      <c r="E22" s="123">
        <f t="shared" si="0"/>
        <v>102000</v>
      </c>
      <c r="F22" s="124">
        <f t="shared" si="1"/>
        <v>0.08384822714969477</v>
      </c>
    </row>
    <row r="23" spans="1:6" ht="12" customHeight="1">
      <c r="A23" s="6" t="s">
        <v>598</v>
      </c>
      <c r="B23" s="155"/>
      <c r="C23" s="155"/>
      <c r="D23" s="155">
        <v>13791.46</v>
      </c>
      <c r="E23" s="123">
        <f>SUM(B23:D23)</f>
        <v>13791.46</v>
      </c>
      <c r="F23" s="124">
        <f>(E23/$E$121*100)</f>
        <v>0.011337151674567935</v>
      </c>
    </row>
    <row r="24" spans="1:6" ht="12" customHeight="1">
      <c r="A24" s="6" t="s">
        <v>137</v>
      </c>
      <c r="B24" s="155">
        <v>40000</v>
      </c>
      <c r="C24" s="155">
        <f>40000+13100</f>
        <v>53100</v>
      </c>
      <c r="D24" s="155">
        <v>40000</v>
      </c>
      <c r="E24" s="123">
        <f t="shared" si="0"/>
        <v>133100</v>
      </c>
      <c r="F24" s="124">
        <f t="shared" si="1"/>
        <v>0.10941371601592524</v>
      </c>
    </row>
    <row r="25" spans="1:6" ht="12" customHeight="1">
      <c r="A25" s="6" t="s">
        <v>460</v>
      </c>
      <c r="B25" s="155">
        <v>10000</v>
      </c>
      <c r="C25" s="155">
        <v>10000</v>
      </c>
      <c r="D25" s="155">
        <v>10000</v>
      </c>
      <c r="E25" s="123">
        <f t="shared" si="0"/>
        <v>30000</v>
      </c>
      <c r="F25" s="124">
        <f t="shared" si="1"/>
        <v>0.024661243279321995</v>
      </c>
    </row>
    <row r="26" spans="1:6" ht="12" customHeight="1">
      <c r="A26" s="6" t="s">
        <v>71</v>
      </c>
      <c r="B26" s="155">
        <f>30000+1965400.9</f>
        <v>1995400.9</v>
      </c>
      <c r="C26" s="155">
        <f>30000+713225.1</f>
        <v>743225.1</v>
      </c>
      <c r="D26" s="155">
        <f>30000+215470</f>
        <v>245470</v>
      </c>
      <c r="E26" s="123">
        <f t="shared" si="0"/>
        <v>2984096</v>
      </c>
      <c r="F26" s="124">
        <f t="shared" si="1"/>
        <v>2.453050580828388</v>
      </c>
    </row>
    <row r="27" spans="1:6" ht="12" customHeight="1">
      <c r="A27" s="1" t="s">
        <v>244</v>
      </c>
      <c r="B27" s="155"/>
      <c r="C27" s="155">
        <v>80195</v>
      </c>
      <c r="D27" s="155"/>
      <c r="E27" s="123">
        <f t="shared" si="0"/>
        <v>80195</v>
      </c>
      <c r="F27" s="124">
        <f t="shared" si="1"/>
        <v>0.0659236134928409</v>
      </c>
    </row>
    <row r="28" spans="1:6" ht="12" customHeight="1">
      <c r="A28" s="6" t="s">
        <v>298</v>
      </c>
      <c r="B28" s="155">
        <f>10000+8792</f>
        <v>18792</v>
      </c>
      <c r="C28" s="155">
        <f>10000+43750</f>
        <v>53750</v>
      </c>
      <c r="D28" s="155">
        <f>10000+25800</f>
        <v>35800</v>
      </c>
      <c r="E28" s="123">
        <f t="shared" si="0"/>
        <v>108342</v>
      </c>
      <c r="F28" s="124">
        <f t="shared" si="1"/>
        <v>0.08906161397894344</v>
      </c>
    </row>
    <row r="29" spans="1:7" ht="12" customHeight="1">
      <c r="A29" s="1" t="s">
        <v>149</v>
      </c>
      <c r="B29" s="155">
        <f>25000-49415.98</f>
        <v>-24415.980000000003</v>
      </c>
      <c r="C29" s="155">
        <v>25000</v>
      </c>
      <c r="D29" s="155">
        <f>25000-38243.4</f>
        <v>-13243.400000000001</v>
      </c>
      <c r="E29" s="123">
        <f t="shared" si="0"/>
        <v>-12659.380000000005</v>
      </c>
      <c r="F29" s="124">
        <f t="shared" si="1"/>
        <v>-0.010406534998179446</v>
      </c>
      <c r="G29" s="8"/>
    </row>
    <row r="30" spans="1:6" ht="12" customHeight="1">
      <c r="A30" s="1" t="s">
        <v>168</v>
      </c>
      <c r="B30" s="155">
        <v>7000</v>
      </c>
      <c r="C30" s="155">
        <v>7000</v>
      </c>
      <c r="D30" s="155"/>
      <c r="E30" s="123">
        <f t="shared" si="0"/>
        <v>14000</v>
      </c>
      <c r="F30" s="124">
        <f t="shared" si="1"/>
        <v>0.01150858019701693</v>
      </c>
    </row>
    <row r="31" spans="1:6" ht="12" customHeight="1">
      <c r="A31" s="1" t="s">
        <v>321</v>
      </c>
      <c r="B31" s="155">
        <f>15000+147432.14</f>
        <v>162432.14</v>
      </c>
      <c r="C31" s="155">
        <f>15000+137080</f>
        <v>152080</v>
      </c>
      <c r="D31" s="155"/>
      <c r="E31" s="123">
        <f t="shared" si="0"/>
        <v>314512.14</v>
      </c>
      <c r="F31" s="124">
        <f t="shared" si="1"/>
        <v>0.2585420132946726</v>
      </c>
    </row>
    <row r="32" spans="1:6" ht="12" customHeight="1">
      <c r="A32" s="1" t="s">
        <v>373</v>
      </c>
      <c r="B32" s="155">
        <v>2000</v>
      </c>
      <c r="C32" s="155">
        <v>2000</v>
      </c>
      <c r="D32" s="155"/>
      <c r="E32" s="123">
        <f t="shared" si="0"/>
        <v>4000</v>
      </c>
      <c r="F32" s="124">
        <f t="shared" si="1"/>
        <v>0.0032881657705762656</v>
      </c>
    </row>
    <row r="33" spans="1:6" ht="12" customHeight="1">
      <c r="A33" s="1" t="s">
        <v>80</v>
      </c>
      <c r="B33" s="155">
        <f>8000+1336.32</f>
        <v>9336.32</v>
      </c>
      <c r="C33" s="155">
        <f>8000+3118.08</f>
        <v>11118.08</v>
      </c>
      <c r="D33" s="155">
        <v>8000</v>
      </c>
      <c r="E33" s="123">
        <f t="shared" si="0"/>
        <v>28454.4</v>
      </c>
      <c r="F33" s="124">
        <f t="shared" si="1"/>
        <v>0.023390696025571322</v>
      </c>
    </row>
    <row r="34" spans="1:6" ht="12" customHeight="1">
      <c r="A34" s="1" t="s">
        <v>341</v>
      </c>
      <c r="B34" s="155">
        <v>2000</v>
      </c>
      <c r="C34" s="155">
        <v>8765.5</v>
      </c>
      <c r="D34" s="155"/>
      <c r="E34" s="123">
        <f t="shared" si="0"/>
        <v>10765.5</v>
      </c>
      <c r="F34" s="124">
        <f t="shared" si="1"/>
        <v>0.008849687150784697</v>
      </c>
    </row>
    <row r="35" spans="1:6" ht="12" customHeight="1">
      <c r="A35" s="1" t="s">
        <v>188</v>
      </c>
      <c r="B35" s="155">
        <f>5000+2500</f>
        <v>7500</v>
      </c>
      <c r="C35" s="148">
        <f>5000+6500</f>
        <v>11500</v>
      </c>
      <c r="D35" s="155">
        <v>5000</v>
      </c>
      <c r="E35" s="123">
        <f t="shared" si="0"/>
        <v>24000</v>
      </c>
      <c r="F35" s="124">
        <f t="shared" si="1"/>
        <v>0.01972899462345759</v>
      </c>
    </row>
    <row r="36" spans="1:6" ht="12" customHeight="1">
      <c r="A36" s="7" t="s">
        <v>646</v>
      </c>
      <c r="B36" s="155"/>
      <c r="C36" s="148"/>
      <c r="D36" s="155">
        <v>10000</v>
      </c>
      <c r="E36" s="123">
        <f>SUM(B36:D36)</f>
        <v>10000</v>
      </c>
      <c r="F36" s="124">
        <f>(E36/$E$121*100)</f>
        <v>0.008220414426440665</v>
      </c>
    </row>
    <row r="37" spans="1:6" ht="12" customHeight="1">
      <c r="A37" s="1" t="s">
        <v>307</v>
      </c>
      <c r="B37" s="148">
        <v>6000</v>
      </c>
      <c r="C37" s="155"/>
      <c r="D37" s="148"/>
      <c r="E37" s="123">
        <f t="shared" si="0"/>
        <v>6000</v>
      </c>
      <c r="F37" s="124">
        <f t="shared" si="1"/>
        <v>0.004932248655864398</v>
      </c>
    </row>
    <row r="38" spans="1:6" ht="12" customHeight="1">
      <c r="A38" s="7" t="s">
        <v>484</v>
      </c>
      <c r="B38" s="155">
        <f>25000-500</f>
        <v>24500</v>
      </c>
      <c r="C38" s="148">
        <f>25000+73014.3-3000</f>
        <v>95014.3</v>
      </c>
      <c r="D38" s="155">
        <v>25000</v>
      </c>
      <c r="E38" s="123">
        <f t="shared" si="0"/>
        <v>144514.3</v>
      </c>
      <c r="F38" s="124">
        <f t="shared" si="1"/>
        <v>0.1187967436546974</v>
      </c>
    </row>
    <row r="39" spans="1:6" ht="12" customHeight="1">
      <c r="A39" s="1" t="s">
        <v>169</v>
      </c>
      <c r="B39" s="155">
        <f>300000+1545000</f>
        <v>1845000</v>
      </c>
      <c r="C39" s="155">
        <f>300000+1517409.5</f>
        <v>1817409.5</v>
      </c>
      <c r="D39" s="155">
        <v>300000</v>
      </c>
      <c r="E39" s="123">
        <f t="shared" si="0"/>
        <v>3962409.5</v>
      </c>
      <c r="F39" s="124">
        <f t="shared" si="1"/>
        <v>3.2572648217265536</v>
      </c>
    </row>
    <row r="40" spans="1:6" ht="12" customHeight="1">
      <c r="A40" s="1" t="s">
        <v>241</v>
      </c>
      <c r="B40" s="155">
        <f>50000+6158939.81</f>
        <v>6208939.81</v>
      </c>
      <c r="C40" s="155">
        <v>40000000</v>
      </c>
      <c r="D40" s="155">
        <f>100000+137790.45</f>
        <v>237790.45</v>
      </c>
      <c r="E40" s="123">
        <f t="shared" si="0"/>
        <v>46446730.260000005</v>
      </c>
      <c r="F40" s="124">
        <f t="shared" si="1"/>
        <v>38.181137149030214</v>
      </c>
    </row>
    <row r="41" spans="1:6" ht="12" customHeight="1">
      <c r="A41" s="1" t="s">
        <v>128</v>
      </c>
      <c r="B41" s="155"/>
      <c r="C41" s="155">
        <v>10000</v>
      </c>
      <c r="D41" s="155">
        <v>5000</v>
      </c>
      <c r="E41" s="123">
        <f t="shared" si="0"/>
        <v>15000</v>
      </c>
      <c r="F41" s="124">
        <f t="shared" si="1"/>
        <v>0.012330621639660998</v>
      </c>
    </row>
    <row r="42" spans="1:6" ht="12" customHeight="1">
      <c r="A42" s="1" t="s">
        <v>170</v>
      </c>
      <c r="B42" s="155">
        <v>10393161.61</v>
      </c>
      <c r="C42" s="155">
        <v>37289684.81</v>
      </c>
      <c r="D42" s="155"/>
      <c r="E42" s="123">
        <f t="shared" si="0"/>
        <v>47682846.42</v>
      </c>
      <c r="F42" s="124">
        <f t="shared" si="1"/>
        <v>39.19727586047226</v>
      </c>
    </row>
    <row r="43" spans="1:6" ht="12" customHeight="1">
      <c r="A43" s="1" t="s">
        <v>138</v>
      </c>
      <c r="B43" s="155">
        <v>7000</v>
      </c>
      <c r="C43" s="155"/>
      <c r="D43" s="155">
        <v>7000</v>
      </c>
      <c r="E43" s="123">
        <f t="shared" si="0"/>
        <v>14000</v>
      </c>
      <c r="F43" s="124">
        <f aca="true" t="shared" si="2" ref="F43:F75">(E43/$E$121*100)</f>
        <v>0.01150858019701693</v>
      </c>
    </row>
    <row r="44" spans="1:6" ht="12" customHeight="1">
      <c r="A44" s="1" t="s">
        <v>139</v>
      </c>
      <c r="B44" s="147">
        <f>5000+5000</f>
        <v>10000</v>
      </c>
      <c r="C44" s="155">
        <v>178400</v>
      </c>
      <c r="D44" s="147">
        <f>5000+9417.28</f>
        <v>14417.28</v>
      </c>
      <c r="E44" s="123">
        <f t="shared" si="0"/>
        <v>202817.28</v>
      </c>
      <c r="F44" s="124">
        <f t="shared" si="2"/>
        <v>0.16672420944434554</v>
      </c>
    </row>
    <row r="45" spans="1:6" ht="12" customHeight="1">
      <c r="A45" s="1" t="s">
        <v>204</v>
      </c>
      <c r="B45" s="147"/>
      <c r="C45" s="155">
        <v>44000</v>
      </c>
      <c r="D45" s="147">
        <v>44000</v>
      </c>
      <c r="E45" s="123">
        <f t="shared" si="0"/>
        <v>88000</v>
      </c>
      <c r="F45" s="124">
        <f t="shared" si="2"/>
        <v>0.07233964695267785</v>
      </c>
    </row>
    <row r="46" spans="1:6" ht="12" customHeight="1">
      <c r="A46" s="1" t="s">
        <v>72</v>
      </c>
      <c r="B46" s="155">
        <f>27500+489271.6</f>
        <v>516771.6</v>
      </c>
      <c r="C46" s="155">
        <f>27500+773928.95</f>
        <v>801428.95</v>
      </c>
      <c r="D46" s="155">
        <f>27500+498259.32</f>
        <v>525759.3200000001</v>
      </c>
      <c r="E46" s="123">
        <f t="shared" si="0"/>
        <v>1843959.8699999999</v>
      </c>
      <c r="F46" s="124">
        <f t="shared" si="2"/>
        <v>1.515811431712565</v>
      </c>
    </row>
    <row r="47" spans="1:6" ht="12" customHeight="1">
      <c r="A47" s="1" t="s">
        <v>357</v>
      </c>
      <c r="B47" s="155">
        <v>30000</v>
      </c>
      <c r="C47" s="155"/>
      <c r="D47" s="155"/>
      <c r="E47" s="123">
        <f t="shared" si="0"/>
        <v>30000</v>
      </c>
      <c r="F47" s="124">
        <f t="shared" si="2"/>
        <v>0.024661243279321995</v>
      </c>
    </row>
    <row r="48" spans="1:6" ht="12" customHeight="1">
      <c r="A48" s="1" t="s">
        <v>347</v>
      </c>
      <c r="B48" s="155">
        <f>10000+4500</f>
        <v>14500</v>
      </c>
      <c r="C48" s="155"/>
      <c r="D48" s="155">
        <v>5000</v>
      </c>
      <c r="E48" s="123">
        <f t="shared" si="0"/>
        <v>19500</v>
      </c>
      <c r="F48" s="124">
        <f t="shared" si="2"/>
        <v>0.016029808131559294</v>
      </c>
    </row>
    <row r="49" spans="1:6" ht="12" customHeight="1">
      <c r="A49" s="1" t="s">
        <v>301</v>
      </c>
      <c r="B49" s="155">
        <v>20000</v>
      </c>
      <c r="C49" s="155">
        <v>10000</v>
      </c>
      <c r="D49" s="155">
        <v>10000</v>
      </c>
      <c r="E49" s="123">
        <f t="shared" si="0"/>
        <v>40000</v>
      </c>
      <c r="F49" s="124">
        <f t="shared" si="2"/>
        <v>0.03288165770576266</v>
      </c>
    </row>
    <row r="50" spans="1:6" ht="12" customHeight="1">
      <c r="A50" s="1" t="s">
        <v>140</v>
      </c>
      <c r="B50" s="155">
        <f>5000+10000</f>
        <v>15000</v>
      </c>
      <c r="C50" s="155">
        <f>5000+140266.47</f>
        <v>145266.47</v>
      </c>
      <c r="D50" s="155">
        <f>5000+268917</f>
        <v>273917</v>
      </c>
      <c r="E50" s="123">
        <f t="shared" si="0"/>
        <v>434183.47</v>
      </c>
      <c r="F50" s="124">
        <f t="shared" si="2"/>
        <v>0.3569168060510067</v>
      </c>
    </row>
    <row r="51" spans="1:6" ht="12" customHeight="1">
      <c r="A51" s="1" t="s">
        <v>322</v>
      </c>
      <c r="B51" s="155">
        <v>20000</v>
      </c>
      <c r="C51" s="155">
        <f>25000+5300.27</f>
        <v>30300.27</v>
      </c>
      <c r="D51" s="155">
        <v>25000</v>
      </c>
      <c r="E51" s="123">
        <f t="shared" si="0"/>
        <v>75300.27</v>
      </c>
      <c r="F51" s="124">
        <f t="shared" si="2"/>
        <v>0.06189994258228771</v>
      </c>
    </row>
    <row r="52" spans="1:6" ht="12" customHeight="1">
      <c r="A52" s="1" t="s">
        <v>183</v>
      </c>
      <c r="B52" s="155">
        <v>8000</v>
      </c>
      <c r="C52" s="155">
        <v>8000</v>
      </c>
      <c r="D52" s="155">
        <v>8000</v>
      </c>
      <c r="E52" s="123">
        <f t="shared" si="0"/>
        <v>24000</v>
      </c>
      <c r="F52" s="124">
        <f t="shared" si="2"/>
        <v>0.01972899462345759</v>
      </c>
    </row>
    <row r="53" spans="1:6" ht="12" customHeight="1">
      <c r="A53" s="1" t="s">
        <v>73</v>
      </c>
      <c r="B53" s="155">
        <v>7500</v>
      </c>
      <c r="C53" s="155">
        <f>7500+5000</f>
        <v>12500</v>
      </c>
      <c r="D53" s="155">
        <v>7500</v>
      </c>
      <c r="E53" s="123">
        <f t="shared" si="0"/>
        <v>27500</v>
      </c>
      <c r="F53" s="124">
        <f t="shared" si="2"/>
        <v>0.022606139672711825</v>
      </c>
    </row>
    <row r="54" spans="1:6" ht="12" customHeight="1">
      <c r="A54" s="7" t="s">
        <v>110</v>
      </c>
      <c r="B54" s="155">
        <v>10000</v>
      </c>
      <c r="C54" s="155">
        <f>10000+35356</f>
        <v>45356</v>
      </c>
      <c r="D54" s="155">
        <f>10000+5400</f>
        <v>15400</v>
      </c>
      <c r="E54" s="123">
        <f t="shared" si="0"/>
        <v>70756</v>
      </c>
      <c r="F54" s="124">
        <f t="shared" si="2"/>
        <v>0.05816436431572357</v>
      </c>
    </row>
    <row r="55" spans="1:6" ht="12" customHeight="1">
      <c r="A55" s="1" t="s">
        <v>74</v>
      </c>
      <c r="B55" s="155">
        <v>10000</v>
      </c>
      <c r="C55" s="155">
        <f>10000+18200</f>
        <v>28200</v>
      </c>
      <c r="D55" s="155">
        <v>10000</v>
      </c>
      <c r="E55" s="123">
        <f t="shared" si="0"/>
        <v>48200</v>
      </c>
      <c r="F55" s="124">
        <f t="shared" si="2"/>
        <v>0.039622397535444</v>
      </c>
    </row>
    <row r="56" spans="1:6" ht="12" customHeight="1">
      <c r="A56" s="1" t="s">
        <v>141</v>
      </c>
      <c r="B56" s="155">
        <v>20000</v>
      </c>
      <c r="C56" s="155">
        <f>20000+8500</f>
        <v>28500</v>
      </c>
      <c r="D56" s="155">
        <f>20000+10000</f>
        <v>30000</v>
      </c>
      <c r="E56" s="123">
        <f t="shared" si="0"/>
        <v>78500</v>
      </c>
      <c r="F56" s="124">
        <f t="shared" si="2"/>
        <v>0.0645302532475592</v>
      </c>
    </row>
    <row r="57" spans="1:6" ht="12" customHeight="1">
      <c r="A57" s="1" t="s">
        <v>127</v>
      </c>
      <c r="B57" s="155">
        <f>7000+5754</f>
        <v>12754</v>
      </c>
      <c r="C57" s="155">
        <v>7000</v>
      </c>
      <c r="D57" s="155">
        <v>7000</v>
      </c>
      <c r="E57" s="123">
        <f t="shared" si="0"/>
        <v>26754</v>
      </c>
      <c r="F57" s="124">
        <f t="shared" si="2"/>
        <v>0.021992896756499354</v>
      </c>
    </row>
    <row r="58" spans="1:6" ht="12" customHeight="1">
      <c r="A58" s="1" t="s">
        <v>342</v>
      </c>
      <c r="B58" s="155">
        <v>25000</v>
      </c>
      <c r="C58" s="155"/>
      <c r="D58" s="155"/>
      <c r="E58" s="123">
        <f t="shared" si="0"/>
        <v>25000</v>
      </c>
      <c r="F58" s="124">
        <f t="shared" si="2"/>
        <v>0.02055103606610166</v>
      </c>
    </row>
    <row r="59" spans="1:6" ht="12" customHeight="1">
      <c r="A59" s="1" t="s">
        <v>122</v>
      </c>
      <c r="B59" s="155">
        <f>5000+1603509.25</f>
        <v>1608509.25</v>
      </c>
      <c r="C59" s="155">
        <v>5000</v>
      </c>
      <c r="D59" s="155">
        <v>5000</v>
      </c>
      <c r="E59" s="123">
        <f t="shared" si="0"/>
        <v>1618509.25</v>
      </c>
      <c r="F59" s="124">
        <f t="shared" si="2"/>
        <v>1.330481678802766</v>
      </c>
    </row>
    <row r="60" spans="1:6" ht="12" customHeight="1">
      <c r="A60" s="1" t="s">
        <v>142</v>
      </c>
      <c r="B60" s="155">
        <f>132000+1527253.5</f>
        <v>1659253.5</v>
      </c>
      <c r="C60" s="155">
        <f>132000+971056.4</f>
        <v>1103056.4</v>
      </c>
      <c r="D60" s="155">
        <f>264000+352262</f>
        <v>616262</v>
      </c>
      <c r="E60" s="123">
        <f t="shared" si="0"/>
        <v>3378571.9</v>
      </c>
      <c r="F60" s="124">
        <f t="shared" si="2"/>
        <v>2.777326118752704</v>
      </c>
    </row>
    <row r="61" spans="1:6" ht="12" customHeight="1">
      <c r="A61" s="1" t="s">
        <v>143</v>
      </c>
      <c r="B61" s="155">
        <v>5000</v>
      </c>
      <c r="C61" s="155">
        <v>5000</v>
      </c>
      <c r="D61" s="155">
        <v>5000</v>
      </c>
      <c r="E61" s="123">
        <f t="shared" si="0"/>
        <v>15000</v>
      </c>
      <c r="F61" s="124">
        <f t="shared" si="2"/>
        <v>0.012330621639660998</v>
      </c>
    </row>
    <row r="62" spans="1:6" ht="12" customHeight="1">
      <c r="A62" s="1" t="s">
        <v>186</v>
      </c>
      <c r="B62" s="155">
        <f>250000+409773.3</f>
        <v>659773.3</v>
      </c>
      <c r="C62" s="155">
        <f>250000+681223.63</f>
        <v>931223.63</v>
      </c>
      <c r="D62" s="155">
        <f>250000+701034.16</f>
        <v>951034.16</v>
      </c>
      <c r="E62" s="123">
        <f t="shared" si="0"/>
        <v>2542031.0900000003</v>
      </c>
      <c r="F62" s="124">
        <f t="shared" si="2"/>
        <v>2.089654904469669</v>
      </c>
    </row>
    <row r="63" spans="1:6" ht="12" customHeight="1">
      <c r="A63" s="1" t="s">
        <v>130</v>
      </c>
      <c r="B63" s="155">
        <f>200000+1358450.77</f>
        <v>1558450.77</v>
      </c>
      <c r="C63" s="155">
        <f>200000+1017815.72</f>
        <v>1217815.72</v>
      </c>
      <c r="D63" s="155">
        <f>220000+664904+98866.71+42800+220000+43932.92</f>
        <v>1290503.63</v>
      </c>
      <c r="E63" s="123">
        <f t="shared" si="0"/>
        <v>4066770.12</v>
      </c>
      <c r="F63" s="124">
        <f t="shared" si="2"/>
        <v>3.343053576346583</v>
      </c>
    </row>
    <row r="64" spans="1:6" ht="12" customHeight="1">
      <c r="A64" s="7" t="s">
        <v>605</v>
      </c>
      <c r="B64" s="155"/>
      <c r="C64" s="155"/>
      <c r="D64" s="155">
        <v>78613.6</v>
      </c>
      <c r="E64" s="123">
        <f>SUM(B64:D64)</f>
        <v>78613.6</v>
      </c>
      <c r="F64" s="124">
        <f>(E64/$E$121*100)</f>
        <v>0.06462363715544357</v>
      </c>
    </row>
    <row r="65" spans="1:6" ht="12" customHeight="1">
      <c r="A65" s="1" t="s">
        <v>453</v>
      </c>
      <c r="B65" s="155">
        <f>20000+479343</f>
        <v>499343</v>
      </c>
      <c r="C65" s="155">
        <f>20000+20000-10000</f>
        <v>30000</v>
      </c>
      <c r="D65" s="155">
        <v>20000</v>
      </c>
      <c r="E65" s="123">
        <f t="shared" si="0"/>
        <v>549343</v>
      </c>
      <c r="F65" s="124">
        <f t="shared" si="2"/>
        <v>0.4515827122264194</v>
      </c>
    </row>
    <row r="66" spans="1:6" ht="12" customHeight="1">
      <c r="A66" s="7" t="s">
        <v>530</v>
      </c>
      <c r="B66" s="155"/>
      <c r="C66" s="155">
        <v>20000</v>
      </c>
      <c r="D66" s="155"/>
      <c r="E66" s="123">
        <f t="shared" si="0"/>
        <v>20000</v>
      </c>
      <c r="F66" s="124">
        <f t="shared" si="2"/>
        <v>0.01644082885288133</v>
      </c>
    </row>
    <row r="67" spans="1:6" ht="12" customHeight="1">
      <c r="A67" s="1" t="s">
        <v>81</v>
      </c>
      <c r="B67" s="155">
        <v>15882.97</v>
      </c>
      <c r="C67" s="155">
        <v>2500</v>
      </c>
      <c r="D67" s="155"/>
      <c r="E67" s="123">
        <f t="shared" si="0"/>
        <v>18382.97</v>
      </c>
      <c r="F67" s="124">
        <f t="shared" si="2"/>
        <v>0.015111563178882592</v>
      </c>
    </row>
    <row r="68" spans="1:6" ht="12" customHeight="1">
      <c r="A68" s="1" t="s">
        <v>75</v>
      </c>
      <c r="B68" s="155"/>
      <c r="C68" s="155">
        <v>42729.6</v>
      </c>
      <c r="D68" s="155"/>
      <c r="E68" s="123">
        <f t="shared" si="0"/>
        <v>42729.6</v>
      </c>
      <c r="F68" s="124">
        <f t="shared" si="2"/>
        <v>0.035125502027603894</v>
      </c>
    </row>
    <row r="69" spans="1:6" ht="12" customHeight="1">
      <c r="A69" s="1" t="s">
        <v>353</v>
      </c>
      <c r="B69" s="155">
        <f>20704.81+25000</f>
        <v>45704.81</v>
      </c>
      <c r="C69" s="155">
        <f>-25000+31882.88</f>
        <v>6882.880000000001</v>
      </c>
      <c r="D69" s="155"/>
      <c r="E69" s="123">
        <f t="shared" si="0"/>
        <v>52587.69</v>
      </c>
      <c r="F69" s="124">
        <f t="shared" si="2"/>
        <v>0.043229260552918945</v>
      </c>
    </row>
    <row r="70" spans="1:6" ht="12" customHeight="1">
      <c r="A70" s="1" t="s">
        <v>317</v>
      </c>
      <c r="B70" s="155">
        <f>58592-10800</f>
        <v>47792</v>
      </c>
      <c r="C70" s="155">
        <v>96740</v>
      </c>
      <c r="D70" s="155">
        <v>77420</v>
      </c>
      <c r="E70" s="123">
        <f t="shared" si="0"/>
        <v>221952</v>
      </c>
      <c r="F70" s="124">
        <f t="shared" si="2"/>
        <v>0.18245374227773584</v>
      </c>
    </row>
    <row r="71" spans="1:6" ht="12" customHeight="1">
      <c r="A71" s="1" t="s">
        <v>205</v>
      </c>
      <c r="B71" s="155">
        <v>24468.8</v>
      </c>
      <c r="C71" s="155"/>
      <c r="D71" s="155">
        <v>12166.76</v>
      </c>
      <c r="E71" s="123">
        <f t="shared" si="0"/>
        <v>36635.56</v>
      </c>
      <c r="F71" s="124">
        <f t="shared" si="2"/>
        <v>0.03011594859447325</v>
      </c>
    </row>
    <row r="72" spans="1:6" ht="12" customHeight="1">
      <c r="A72" s="1" t="s">
        <v>328</v>
      </c>
      <c r="B72" s="155">
        <v>6000</v>
      </c>
      <c r="C72" s="155"/>
      <c r="D72" s="155"/>
      <c r="E72" s="123">
        <f t="shared" si="0"/>
        <v>6000</v>
      </c>
      <c r="F72" s="124">
        <f t="shared" si="2"/>
        <v>0.004932248655864398</v>
      </c>
    </row>
    <row r="73" spans="1:6" ht="12" customHeight="1">
      <c r="A73" s="1" t="s">
        <v>76</v>
      </c>
      <c r="B73" s="155"/>
      <c r="C73" s="155">
        <v>70000</v>
      </c>
      <c r="D73" s="155">
        <v>6000</v>
      </c>
      <c r="E73" s="123">
        <f t="shared" si="0"/>
        <v>76000</v>
      </c>
      <c r="F73" s="124">
        <f t="shared" si="2"/>
        <v>0.062475149640949044</v>
      </c>
    </row>
    <row r="74" spans="1:6" ht="12" customHeight="1">
      <c r="A74" s="7" t="s">
        <v>485</v>
      </c>
      <c r="B74" s="155"/>
      <c r="C74" s="155">
        <v>13353</v>
      </c>
      <c r="D74" s="155"/>
      <c r="E74" s="123">
        <f t="shared" si="0"/>
        <v>13353</v>
      </c>
      <c r="F74" s="124">
        <f t="shared" si="2"/>
        <v>0.010976719383626219</v>
      </c>
    </row>
    <row r="75" spans="1:6" ht="12" customHeight="1">
      <c r="A75" s="1" t="s">
        <v>312</v>
      </c>
      <c r="B75" s="155">
        <v>6462</v>
      </c>
      <c r="C75" s="155"/>
      <c r="D75" s="155">
        <v>162367.53</v>
      </c>
      <c r="E75" s="123">
        <f t="shared" si="0"/>
        <v>168829.53</v>
      </c>
      <c r="F75" s="124">
        <f t="shared" si="2"/>
        <v>0.1387848704021197</v>
      </c>
    </row>
    <row r="76" spans="1:6" ht="12" customHeight="1">
      <c r="A76" s="7" t="s">
        <v>486</v>
      </c>
      <c r="B76" s="148">
        <v>20000</v>
      </c>
      <c r="C76" s="155"/>
      <c r="D76" s="148">
        <v>20000</v>
      </c>
      <c r="E76" s="123">
        <f aca="true" t="shared" si="3" ref="E76:E119">SUM(B76:D76)</f>
        <v>40000</v>
      </c>
      <c r="F76" s="124">
        <f aca="true" t="shared" si="4" ref="F76:F110">(E76/$E$121*100)</f>
        <v>0.03288165770576266</v>
      </c>
    </row>
    <row r="77" spans="1:6" ht="12" customHeight="1">
      <c r="A77" s="1" t="s">
        <v>330</v>
      </c>
      <c r="B77" s="148"/>
      <c r="C77" s="155">
        <v>8011.8</v>
      </c>
      <c r="D77" s="148"/>
      <c r="E77" s="123">
        <f t="shared" si="3"/>
        <v>8011.8</v>
      </c>
      <c r="F77" s="124">
        <f t="shared" si="4"/>
        <v>0.006586031630175731</v>
      </c>
    </row>
    <row r="78" spans="1:6" ht="12" customHeight="1">
      <c r="A78" s="1" t="s">
        <v>354</v>
      </c>
      <c r="B78" s="148"/>
      <c r="C78" s="155">
        <v>32047.2</v>
      </c>
      <c r="D78" s="148">
        <v>7500</v>
      </c>
      <c r="E78" s="123">
        <f t="shared" si="3"/>
        <v>39547.2</v>
      </c>
      <c r="F78" s="124">
        <f t="shared" si="4"/>
        <v>0.03250943734053342</v>
      </c>
    </row>
    <row r="79" spans="1:6" ht="12" customHeight="1">
      <c r="A79" s="1" t="s">
        <v>77</v>
      </c>
      <c r="B79" s="148">
        <v>50000</v>
      </c>
      <c r="C79" s="155"/>
      <c r="D79" s="148"/>
      <c r="E79" s="123">
        <f t="shared" si="3"/>
        <v>50000</v>
      </c>
      <c r="F79" s="124">
        <f t="shared" si="4"/>
        <v>0.04110207213220332</v>
      </c>
    </row>
    <row r="80" spans="1:6" ht="12" customHeight="1">
      <c r="A80" s="1" t="s">
        <v>206</v>
      </c>
      <c r="B80" s="148"/>
      <c r="C80" s="155">
        <v>59717</v>
      </c>
      <c r="D80" s="148"/>
      <c r="E80" s="123">
        <f t="shared" si="3"/>
        <v>59717</v>
      </c>
      <c r="F80" s="124">
        <f t="shared" si="4"/>
        <v>0.04908984883037572</v>
      </c>
    </row>
    <row r="81" spans="1:6" ht="12" customHeight="1">
      <c r="A81" s="1" t="s">
        <v>171</v>
      </c>
      <c r="B81" s="148">
        <v>351656</v>
      </c>
      <c r="C81" s="155">
        <v>120000</v>
      </c>
      <c r="D81" s="148"/>
      <c r="E81" s="123">
        <f t="shared" si="3"/>
        <v>471656</v>
      </c>
      <c r="F81" s="124">
        <f t="shared" si="4"/>
        <v>0.38772077867172977</v>
      </c>
    </row>
    <row r="82" spans="1:6" ht="12" customHeight="1">
      <c r="A82" s="1" t="s">
        <v>387</v>
      </c>
      <c r="B82" s="148">
        <v>10682.4</v>
      </c>
      <c r="C82" s="155"/>
      <c r="D82" s="148"/>
      <c r="E82" s="123">
        <f t="shared" si="3"/>
        <v>10682.4</v>
      </c>
      <c r="F82" s="124">
        <f t="shared" si="4"/>
        <v>0.008781375506900974</v>
      </c>
    </row>
    <row r="83" spans="1:6" ht="12" customHeight="1">
      <c r="A83" s="1" t="s">
        <v>371</v>
      </c>
      <c r="B83" s="148">
        <v>3855.6</v>
      </c>
      <c r="C83" s="155"/>
      <c r="D83" s="148"/>
      <c r="E83" s="123">
        <f t="shared" si="3"/>
        <v>3855.6</v>
      </c>
      <c r="F83" s="124">
        <f t="shared" si="4"/>
        <v>0.003169462986258462</v>
      </c>
    </row>
    <row r="84" spans="1:6" ht="12" customHeight="1">
      <c r="A84" s="1" t="s">
        <v>78</v>
      </c>
      <c r="B84" s="155">
        <v>100000</v>
      </c>
      <c r="C84" s="155">
        <v>200000</v>
      </c>
      <c r="D84" s="155">
        <v>100000</v>
      </c>
      <c r="E84" s="123">
        <f t="shared" si="3"/>
        <v>400000</v>
      </c>
      <c r="F84" s="124">
        <f t="shared" si="4"/>
        <v>0.32881657705762657</v>
      </c>
    </row>
    <row r="85" spans="1:6" ht="12" customHeight="1">
      <c r="A85" s="1" t="s">
        <v>364</v>
      </c>
      <c r="B85" s="155">
        <v>23545.8</v>
      </c>
      <c r="C85" s="155">
        <v>4437</v>
      </c>
      <c r="D85" s="155">
        <v>6250.23</v>
      </c>
      <c r="E85" s="123">
        <f t="shared" si="3"/>
        <v>34233.03</v>
      </c>
      <c r="F85" s="124">
        <f t="shared" si="4"/>
        <v>0.0281409693672776</v>
      </c>
    </row>
    <row r="86" spans="1:6" ht="12" customHeight="1">
      <c r="A86" s="1" t="s">
        <v>332</v>
      </c>
      <c r="B86" s="155">
        <v>30711.9</v>
      </c>
      <c r="C86" s="155"/>
      <c r="D86" s="155"/>
      <c r="E86" s="123">
        <f t="shared" si="3"/>
        <v>30711.9</v>
      </c>
      <c r="F86" s="124">
        <f t="shared" si="4"/>
        <v>0.025246454582340302</v>
      </c>
    </row>
    <row r="87" spans="1:6" ht="12" customHeight="1">
      <c r="A87" s="1" t="s">
        <v>289</v>
      </c>
      <c r="B87" s="155"/>
      <c r="C87" s="155">
        <v>5000</v>
      </c>
      <c r="D87" s="155"/>
      <c r="E87" s="123">
        <f t="shared" si="3"/>
        <v>5000</v>
      </c>
      <c r="F87" s="124">
        <f t="shared" si="4"/>
        <v>0.004110207213220332</v>
      </c>
    </row>
    <row r="88" spans="1:6" ht="12" customHeight="1">
      <c r="A88" s="7" t="s">
        <v>190</v>
      </c>
      <c r="B88" s="155"/>
      <c r="C88" s="155">
        <v>93523.2</v>
      </c>
      <c r="D88" s="155"/>
      <c r="E88" s="123">
        <f t="shared" si="3"/>
        <v>93523.2</v>
      </c>
      <c r="F88" s="124">
        <f t="shared" si="4"/>
        <v>0.07687994624868955</v>
      </c>
    </row>
    <row r="89" spans="1:6" ht="12" customHeight="1">
      <c r="A89" s="1" t="s">
        <v>420</v>
      </c>
      <c r="B89" s="155">
        <v>30000</v>
      </c>
      <c r="C89" s="155"/>
      <c r="D89" s="155"/>
      <c r="E89" s="123">
        <f t="shared" si="3"/>
        <v>30000</v>
      </c>
      <c r="F89" s="124">
        <f t="shared" si="4"/>
        <v>0.024661243279321995</v>
      </c>
    </row>
    <row r="90" spans="1:6" ht="12" customHeight="1">
      <c r="A90" s="1" t="s">
        <v>82</v>
      </c>
      <c r="B90" s="155"/>
      <c r="C90" s="155">
        <v>500</v>
      </c>
      <c r="D90" s="155"/>
      <c r="E90" s="123">
        <f t="shared" si="3"/>
        <v>500</v>
      </c>
      <c r="F90" s="124">
        <f t="shared" si="4"/>
        <v>0.0004110207213220332</v>
      </c>
    </row>
    <row r="91" spans="1:6" ht="12" customHeight="1">
      <c r="A91" s="7" t="s">
        <v>372</v>
      </c>
      <c r="B91" s="155">
        <v>84390.96</v>
      </c>
      <c r="C91" s="155"/>
      <c r="D91" s="155"/>
      <c r="E91" s="123">
        <f t="shared" si="3"/>
        <v>84390.96</v>
      </c>
      <c r="F91" s="124">
        <f t="shared" si="4"/>
        <v>0.0693728665045177</v>
      </c>
    </row>
    <row r="92" spans="1:6" ht="12" customHeight="1">
      <c r="A92" s="1" t="s">
        <v>324</v>
      </c>
      <c r="B92" s="155">
        <v>45587.5</v>
      </c>
      <c r="C92" s="155">
        <v>18235.1</v>
      </c>
      <c r="D92" s="155"/>
      <c r="E92" s="123">
        <f t="shared" si="3"/>
        <v>63822.6</v>
      </c>
      <c r="F92" s="124">
        <f t="shared" si="4"/>
        <v>0.05246482217729519</v>
      </c>
    </row>
    <row r="93" spans="1:6" ht="12" customHeight="1">
      <c r="A93" s="1" t="s">
        <v>325</v>
      </c>
      <c r="B93" s="155">
        <v>7121.6</v>
      </c>
      <c r="C93" s="155">
        <v>141809.78</v>
      </c>
      <c r="D93" s="155"/>
      <c r="E93" s="123">
        <f t="shared" si="3"/>
        <v>148931.38</v>
      </c>
      <c r="F93" s="124">
        <f t="shared" si="4"/>
        <v>0.12242776647017166</v>
      </c>
    </row>
    <row r="94" spans="1:6" ht="12" customHeight="1">
      <c r="A94" s="1" t="s">
        <v>326</v>
      </c>
      <c r="B94" s="155">
        <v>40000</v>
      </c>
      <c r="C94" s="155">
        <v>85096.8</v>
      </c>
      <c r="D94" s="155"/>
      <c r="E94" s="123">
        <f t="shared" si="3"/>
        <v>125096.8</v>
      </c>
      <c r="F94" s="124">
        <f t="shared" si="4"/>
        <v>0.10283475394215626</v>
      </c>
    </row>
    <row r="95" spans="1:6" ht="12" customHeight="1">
      <c r="A95" s="7" t="s">
        <v>293</v>
      </c>
      <c r="B95" s="155"/>
      <c r="C95" s="155"/>
      <c r="D95" s="155">
        <v>8011.8</v>
      </c>
      <c r="E95" s="123">
        <f>SUM(B95:D95)</f>
        <v>8011.8</v>
      </c>
      <c r="F95" s="124">
        <f>(E95/$E$121*100)</f>
        <v>0.006586031630175731</v>
      </c>
    </row>
    <row r="96" spans="1:6" ht="12" customHeight="1">
      <c r="A96" s="7" t="s">
        <v>327</v>
      </c>
      <c r="B96" s="148"/>
      <c r="C96" s="155">
        <v>15000</v>
      </c>
      <c r="D96" s="155"/>
      <c r="E96" s="123">
        <f t="shared" si="3"/>
        <v>15000</v>
      </c>
      <c r="F96" s="124">
        <f t="shared" si="4"/>
        <v>0.012330621639660998</v>
      </c>
    </row>
    <row r="97" spans="1:6" ht="12" customHeight="1">
      <c r="A97" s="7" t="s">
        <v>604</v>
      </c>
      <c r="B97" s="148"/>
      <c r="C97" s="155"/>
      <c r="D97" s="155">
        <v>20000</v>
      </c>
      <c r="E97" s="123">
        <f>SUM(B97:D97)</f>
        <v>20000</v>
      </c>
      <c r="F97" s="124">
        <f>(E97/$E$121*100)</f>
        <v>0.01644082885288133</v>
      </c>
    </row>
    <row r="98" spans="1:6" ht="12" customHeight="1">
      <c r="A98" s="1" t="s">
        <v>87</v>
      </c>
      <c r="B98" s="148">
        <v>6230.96</v>
      </c>
      <c r="C98" s="155"/>
      <c r="D98" s="155"/>
      <c r="E98" s="123">
        <f t="shared" si="3"/>
        <v>6230.96</v>
      </c>
      <c r="F98" s="124">
        <f t="shared" si="4"/>
        <v>0.005122107347457472</v>
      </c>
    </row>
    <row r="99" spans="1:6" ht="12" customHeight="1">
      <c r="A99" s="1" t="s">
        <v>83</v>
      </c>
      <c r="B99" s="148"/>
      <c r="C99" s="155"/>
      <c r="D99" s="155">
        <v>10000</v>
      </c>
      <c r="E99" s="123">
        <f>SUM(B99:D99)</f>
        <v>10000</v>
      </c>
      <c r="F99" s="124">
        <f>(E99/$E$121*100)</f>
        <v>0.008220414426440665</v>
      </c>
    </row>
    <row r="100" spans="1:6" ht="12" customHeight="1">
      <c r="A100" s="1" t="s">
        <v>184</v>
      </c>
      <c r="B100" s="148">
        <v>14015.42</v>
      </c>
      <c r="C100" s="155"/>
      <c r="D100" s="155"/>
      <c r="E100" s="123">
        <f t="shared" si="3"/>
        <v>14015.42</v>
      </c>
      <c r="F100" s="124">
        <f t="shared" si="4"/>
        <v>0.0115212560760625</v>
      </c>
    </row>
    <row r="101" spans="1:6" ht="12" customHeight="1">
      <c r="A101" s="1" t="s">
        <v>84</v>
      </c>
      <c r="B101" s="148">
        <v>2403.54</v>
      </c>
      <c r="C101" s="155">
        <v>9720.98</v>
      </c>
      <c r="D101" s="155">
        <v>7344</v>
      </c>
      <c r="E101" s="123">
        <f t="shared" si="3"/>
        <v>19468.52</v>
      </c>
      <c r="F101" s="124">
        <f t="shared" si="4"/>
        <v>0.016003930266944858</v>
      </c>
    </row>
    <row r="102" spans="1:6" ht="12" customHeight="1">
      <c r="A102" s="1" t="s">
        <v>390</v>
      </c>
      <c r="B102" s="148">
        <v>68100.3</v>
      </c>
      <c r="C102" s="155">
        <v>29389</v>
      </c>
      <c r="D102" s="155"/>
      <c r="E102" s="123">
        <f t="shared" si="3"/>
        <v>97489.3</v>
      </c>
      <c r="F102" s="124">
        <f t="shared" si="4"/>
        <v>0.08014024481436019</v>
      </c>
    </row>
    <row r="103" spans="1:6" ht="12" customHeight="1">
      <c r="A103" s="1" t="s">
        <v>439</v>
      </c>
      <c r="B103" s="148"/>
      <c r="C103" s="155">
        <v>7000</v>
      </c>
      <c r="D103" s="155"/>
      <c r="E103" s="123">
        <f t="shared" si="3"/>
        <v>7000</v>
      </c>
      <c r="F103" s="124">
        <f t="shared" si="4"/>
        <v>0.005754290098508465</v>
      </c>
    </row>
    <row r="104" spans="1:6" ht="12" customHeight="1">
      <c r="A104" s="1" t="s">
        <v>343</v>
      </c>
      <c r="B104" s="148">
        <v>27017.16</v>
      </c>
      <c r="C104" s="155">
        <v>45934.32</v>
      </c>
      <c r="D104" s="155"/>
      <c r="E104" s="123">
        <f t="shared" si="3"/>
        <v>72951.48</v>
      </c>
      <c r="F104" s="124">
        <f t="shared" si="4"/>
        <v>0.05996913986221975</v>
      </c>
    </row>
    <row r="105" spans="1:6" ht="12" customHeight="1">
      <c r="A105" s="1" t="s">
        <v>89</v>
      </c>
      <c r="B105" s="148"/>
      <c r="C105" s="155">
        <v>6612</v>
      </c>
      <c r="D105" s="155"/>
      <c r="E105" s="123">
        <f t="shared" si="3"/>
        <v>6612</v>
      </c>
      <c r="F105" s="124">
        <f t="shared" si="4"/>
        <v>0.0054353380187625675</v>
      </c>
    </row>
    <row r="106" spans="1:6" ht="12" customHeight="1">
      <c r="A106" s="1" t="s">
        <v>391</v>
      </c>
      <c r="B106" s="148">
        <f>51023.6-23073.66-11536.02-5767.2-28842.48</f>
        <v>-18195.760000000002</v>
      </c>
      <c r="C106" s="155"/>
      <c r="D106" s="155"/>
      <c r="E106" s="123">
        <f t="shared" si="3"/>
        <v>-18195.760000000002</v>
      </c>
      <c r="F106" s="124">
        <f t="shared" si="4"/>
        <v>-0.014957668800405199</v>
      </c>
    </row>
    <row r="107" spans="1:6" ht="12" customHeight="1">
      <c r="A107" s="1" t="s">
        <v>90</v>
      </c>
      <c r="B107" s="148"/>
      <c r="C107" s="155">
        <v>16993.42</v>
      </c>
      <c r="D107" s="155"/>
      <c r="E107" s="123">
        <f t="shared" si="3"/>
        <v>16993.42</v>
      </c>
      <c r="F107" s="124">
        <f t="shared" si="4"/>
        <v>0.01396929549225653</v>
      </c>
    </row>
    <row r="108" spans="1:6" ht="12" customHeight="1">
      <c r="A108" s="7" t="s">
        <v>144</v>
      </c>
      <c r="B108" s="155">
        <v>34130.26</v>
      </c>
      <c r="C108" s="155"/>
      <c r="D108" s="155"/>
      <c r="E108" s="123">
        <f t="shared" si="3"/>
        <v>34130.26</v>
      </c>
      <c r="F108" s="124">
        <f t="shared" si="4"/>
        <v>0.028056488168217077</v>
      </c>
    </row>
    <row r="109" spans="1:6" ht="12" customHeight="1">
      <c r="A109" s="1" t="s">
        <v>294</v>
      </c>
      <c r="B109" s="155">
        <v>14981.5</v>
      </c>
      <c r="C109" s="155"/>
      <c r="D109" s="155"/>
      <c r="E109" s="123">
        <f t="shared" si="3"/>
        <v>14981.5</v>
      </c>
      <c r="F109" s="124">
        <f t="shared" si="4"/>
        <v>0.012315413872972079</v>
      </c>
    </row>
    <row r="110" spans="1:6" ht="12" customHeight="1">
      <c r="A110" s="7" t="s">
        <v>520</v>
      </c>
      <c r="B110" s="155">
        <v>41394.3</v>
      </c>
      <c r="C110" s="155"/>
      <c r="D110" s="155"/>
      <c r="E110" s="123">
        <f t="shared" si="3"/>
        <v>41394.3</v>
      </c>
      <c r="F110" s="124">
        <f t="shared" si="4"/>
        <v>0.034027830089241276</v>
      </c>
    </row>
    <row r="111" spans="1:6" ht="12" customHeight="1">
      <c r="A111" s="1" t="s">
        <v>189</v>
      </c>
      <c r="B111" s="155"/>
      <c r="C111" s="155">
        <v>10100</v>
      </c>
      <c r="D111" s="155"/>
      <c r="E111" s="123">
        <f t="shared" si="3"/>
        <v>10100</v>
      </c>
      <c r="F111" s="124">
        <f aca="true" t="shared" si="5" ref="F111:F119">(E111/$E$121*100)</f>
        <v>0.008302618570705071</v>
      </c>
    </row>
    <row r="112" spans="1:6" ht="12" customHeight="1">
      <c r="A112" s="1" t="s">
        <v>345</v>
      </c>
      <c r="B112" s="155"/>
      <c r="C112" s="155">
        <v>6409.44</v>
      </c>
      <c r="D112" s="155"/>
      <c r="E112" s="123">
        <f t="shared" si="3"/>
        <v>6409.44</v>
      </c>
      <c r="F112" s="124">
        <f t="shared" si="5"/>
        <v>0.005268825304140585</v>
      </c>
    </row>
    <row r="113" spans="1:6" ht="12" customHeight="1">
      <c r="A113" s="1" t="s">
        <v>146</v>
      </c>
      <c r="B113" s="155">
        <v>17000</v>
      </c>
      <c r="C113" s="155"/>
      <c r="D113" s="155"/>
      <c r="E113" s="123">
        <f t="shared" si="3"/>
        <v>17000</v>
      </c>
      <c r="F113" s="124">
        <f t="shared" si="5"/>
        <v>0.013974704524949129</v>
      </c>
    </row>
    <row r="114" spans="1:6" ht="12" customHeight="1">
      <c r="A114" s="7" t="s">
        <v>185</v>
      </c>
      <c r="B114" s="155">
        <v>9787</v>
      </c>
      <c r="C114" s="155"/>
      <c r="D114" s="155"/>
      <c r="E114" s="123">
        <f t="shared" si="3"/>
        <v>9787</v>
      </c>
      <c r="F114" s="124">
        <f t="shared" si="5"/>
        <v>0.008045319599157478</v>
      </c>
    </row>
    <row r="115" spans="1:6" ht="12" customHeight="1">
      <c r="A115" s="1" t="s">
        <v>337</v>
      </c>
      <c r="B115" s="155">
        <v>73441.5</v>
      </c>
      <c r="C115" s="155"/>
      <c r="D115" s="155"/>
      <c r="E115" s="123">
        <f t="shared" si="3"/>
        <v>73441.5</v>
      </c>
      <c r="F115" s="124">
        <f t="shared" si="5"/>
        <v>0.060371956609944204</v>
      </c>
    </row>
    <row r="116" spans="1:6" ht="12" customHeight="1">
      <c r="A116" s="1" t="s">
        <v>275</v>
      </c>
      <c r="B116" s="155">
        <v>8996.4</v>
      </c>
      <c r="C116" s="155"/>
      <c r="D116" s="155"/>
      <c r="E116" s="123">
        <f t="shared" si="3"/>
        <v>8996.4</v>
      </c>
      <c r="F116" s="124">
        <f t="shared" si="5"/>
        <v>0.007395413634603078</v>
      </c>
    </row>
    <row r="117" spans="1:6" ht="12" customHeight="1">
      <c r="A117" s="1" t="s">
        <v>252</v>
      </c>
      <c r="B117" s="155">
        <v>20000</v>
      </c>
      <c r="C117" s="155">
        <v>20000</v>
      </c>
      <c r="D117" s="155">
        <v>20000</v>
      </c>
      <c r="E117" s="123">
        <f t="shared" si="3"/>
        <v>60000</v>
      </c>
      <c r="F117" s="124">
        <f t="shared" si="5"/>
        <v>0.04932248655864399</v>
      </c>
    </row>
    <row r="118" spans="1:6" ht="12" customHeight="1">
      <c r="A118" s="1" t="s">
        <v>209</v>
      </c>
      <c r="B118" s="155"/>
      <c r="C118" s="155">
        <v>21484</v>
      </c>
      <c r="D118" s="155"/>
      <c r="E118" s="123">
        <f t="shared" si="3"/>
        <v>21484</v>
      </c>
      <c r="F118" s="124">
        <f t="shared" si="5"/>
        <v>0.017660738353765124</v>
      </c>
    </row>
    <row r="119" spans="1:6" ht="12" customHeight="1">
      <c r="A119" s="1" t="s">
        <v>251</v>
      </c>
      <c r="B119" s="155">
        <v>5174.5</v>
      </c>
      <c r="C119" s="155">
        <v>10349</v>
      </c>
      <c r="D119" s="155"/>
      <c r="E119" s="123">
        <f t="shared" si="3"/>
        <v>15523.5</v>
      </c>
      <c r="F119" s="124">
        <f t="shared" si="5"/>
        <v>0.012760960334885163</v>
      </c>
    </row>
    <row r="120" spans="1:6" ht="9" customHeight="1">
      <c r="A120" s="4"/>
      <c r="B120" s="200"/>
      <c r="C120" s="200"/>
      <c r="D120" s="287"/>
      <c r="E120" s="123"/>
      <c r="F120" s="124"/>
    </row>
    <row r="121" spans="1:6" ht="12" customHeight="1" thickBot="1">
      <c r="A121" s="4" t="s">
        <v>95</v>
      </c>
      <c r="B121" s="139">
        <f>SUM(B9:B120)</f>
        <v>29208192.060000002</v>
      </c>
      <c r="C121" s="139">
        <f>SUM(C9:C120)</f>
        <v>86763553.72999999</v>
      </c>
      <c r="D121" s="139">
        <f>SUM(D9:D120)</f>
        <v>5676622.3</v>
      </c>
      <c r="E121" s="139">
        <f>SUM(E9:E120)</f>
        <v>121648368.08999999</v>
      </c>
      <c r="F121" s="139">
        <f>SUM(F9:F120)</f>
        <v>100.00000000000003</v>
      </c>
    </row>
    <row r="122" spans="1:6" ht="12" customHeight="1" thickTop="1">
      <c r="A122" s="4"/>
      <c r="B122" s="200"/>
      <c r="C122" s="200"/>
      <c r="D122" s="200"/>
      <c r="E122" s="200"/>
      <c r="F122" s="200"/>
    </row>
    <row r="123" spans="2:6" ht="12.75">
      <c r="B123" s="154"/>
      <c r="C123" s="154"/>
      <c r="D123" s="156"/>
      <c r="E123" s="98"/>
      <c r="F123" s="88"/>
    </row>
    <row r="124" spans="1:6" ht="12.75">
      <c r="A124" s="61"/>
      <c r="B124" s="129"/>
      <c r="C124" s="129"/>
      <c r="D124" s="156"/>
      <c r="E124" s="88"/>
      <c r="F124" s="88"/>
    </row>
    <row r="125" spans="2:4" ht="12.75">
      <c r="B125" s="31"/>
      <c r="C125" s="31"/>
      <c r="D125" s="31"/>
    </row>
    <row r="126" spans="2:4" ht="12.75">
      <c r="B126" s="31"/>
      <c r="C126" s="31"/>
      <c r="D126" s="31"/>
    </row>
    <row r="127" spans="2:3" ht="12.75">
      <c r="B127" s="31"/>
      <c r="C127" s="31"/>
    </row>
    <row r="128" spans="2:3" ht="12.75">
      <c r="B128" s="31"/>
      <c r="C128" s="31"/>
    </row>
    <row r="129" spans="2:4" ht="12.75">
      <c r="B129" s="60"/>
      <c r="C129" s="60"/>
      <c r="D129" s="60"/>
    </row>
    <row r="130" spans="1:4" ht="12.75">
      <c r="A130" s="37"/>
      <c r="B130" s="31"/>
      <c r="C130" s="31"/>
      <c r="D130" s="31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7874015748031497" header="0" footer="0.3937007874015748"/>
  <pageSetup horizontalDpi="600" verticalDpi="600" orientation="portrait" scale="90" r:id="rId1"/>
  <headerFooter alignWithMargins="0">
    <oddFooter>&amp;R&amp;P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70"/>
  <sheetViews>
    <sheetView zoomScale="125" zoomScaleNormal="125" workbookViewId="0" topLeftCell="A1">
      <selection activeCell="B53" sqref="B53:F53"/>
    </sheetView>
  </sheetViews>
  <sheetFormatPr defaultColWidth="11.421875" defaultRowHeight="12.75"/>
  <cols>
    <col min="1" max="1" width="45.00390625" style="1" customWidth="1"/>
    <col min="2" max="5" width="10.8515625" style="22" customWidth="1"/>
    <col min="6" max="6" width="6.57421875" style="1" customWidth="1"/>
    <col min="7" max="16384" width="11.421875" style="1" customWidth="1"/>
  </cols>
  <sheetData>
    <row r="1" spans="1:6" s="205" customFormat="1" ht="12.75" customHeight="1">
      <c r="A1" s="202"/>
      <c r="B1" s="203"/>
      <c r="C1" s="203"/>
      <c r="D1" s="203"/>
      <c r="E1" s="352" t="s">
        <v>115</v>
      </c>
      <c r="F1" s="352"/>
    </row>
    <row r="2" spans="1:6" s="205" customFormat="1" ht="12.75" customHeight="1">
      <c r="A2" s="351" t="s">
        <v>260</v>
      </c>
      <c r="B2" s="351"/>
      <c r="C2" s="351"/>
      <c r="D2" s="351"/>
      <c r="E2" s="351"/>
      <c r="F2" s="351"/>
    </row>
    <row r="3" spans="1:6" s="205" customFormat="1" ht="12.75" customHeight="1">
      <c r="A3" s="353" t="s">
        <v>359</v>
      </c>
      <c r="B3" s="353"/>
      <c r="C3" s="353"/>
      <c r="D3" s="353"/>
      <c r="E3" s="353"/>
      <c r="F3" s="353"/>
    </row>
    <row r="4" spans="1:6" s="205" customFormat="1" ht="12.75" customHeight="1">
      <c r="A4" s="351" t="s">
        <v>271</v>
      </c>
      <c r="B4" s="351"/>
      <c r="C4" s="351"/>
      <c r="D4" s="351"/>
      <c r="E4" s="351"/>
      <c r="F4" s="351"/>
    </row>
    <row r="5" spans="1:7" s="212" customFormat="1" ht="12.75" customHeight="1">
      <c r="A5" s="351" t="s">
        <v>508</v>
      </c>
      <c r="B5" s="351"/>
      <c r="C5" s="351"/>
      <c r="D5" s="351"/>
      <c r="E5" s="351"/>
      <c r="F5" s="351"/>
      <c r="G5" s="211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1:6" ht="9" customHeight="1">
      <c r="A8" s="2"/>
      <c r="B8" s="23"/>
      <c r="C8" s="23"/>
      <c r="D8" s="23"/>
      <c r="E8" s="23"/>
      <c r="F8" s="2"/>
    </row>
    <row r="9" spans="1:7" ht="12" customHeight="1">
      <c r="A9" s="1" t="s">
        <v>427</v>
      </c>
      <c r="B9" s="129">
        <v>2200</v>
      </c>
      <c r="C9" s="129">
        <v>10466.82</v>
      </c>
      <c r="D9" s="129">
        <f>-1100-4000</f>
        <v>-5100</v>
      </c>
      <c r="E9" s="129">
        <f>SUM(B9:D9)</f>
        <v>7566.82</v>
      </c>
      <c r="F9" s="133">
        <f aca="true" t="shared" si="0" ref="F9:F51">(E9/$E$53*100)</f>
        <v>1.2448121790043338</v>
      </c>
      <c r="G9" s="123"/>
    </row>
    <row r="10" spans="1:6" ht="12" customHeight="1">
      <c r="A10" s="1" t="s">
        <v>319</v>
      </c>
      <c r="B10" s="129">
        <v>5800</v>
      </c>
      <c r="C10" s="129">
        <v>2900</v>
      </c>
      <c r="D10" s="129">
        <v>3200</v>
      </c>
      <c r="E10" s="129">
        <f aca="true" t="shared" si="1" ref="E10:E50">SUM(B10:D10)</f>
        <v>11900</v>
      </c>
      <c r="F10" s="133">
        <f t="shared" si="0"/>
        <v>1.9576605403791254</v>
      </c>
    </row>
    <row r="11" spans="1:7" ht="12" customHeight="1">
      <c r="A11" s="6" t="s">
        <v>69</v>
      </c>
      <c r="B11" s="157">
        <v>16523.99</v>
      </c>
      <c r="C11" s="157">
        <v>9800</v>
      </c>
      <c r="D11" s="157">
        <v>3400</v>
      </c>
      <c r="E11" s="129">
        <f t="shared" si="1"/>
        <v>29723.99</v>
      </c>
      <c r="F11" s="133">
        <f t="shared" si="0"/>
        <v>4.8898724643381275</v>
      </c>
      <c r="G11" s="88"/>
    </row>
    <row r="12" spans="1:7" ht="12" customHeight="1">
      <c r="A12" s="6" t="s">
        <v>460</v>
      </c>
      <c r="B12" s="157">
        <v>10000</v>
      </c>
      <c r="C12" s="157"/>
      <c r="D12" s="157">
        <v>5000</v>
      </c>
      <c r="E12" s="129">
        <f t="shared" si="1"/>
        <v>15000</v>
      </c>
      <c r="F12" s="133">
        <f t="shared" si="0"/>
        <v>2.4676393366123426</v>
      </c>
      <c r="G12" s="88"/>
    </row>
    <row r="13" spans="1:7" ht="12" customHeight="1">
      <c r="A13" s="6" t="s">
        <v>71</v>
      </c>
      <c r="B13" s="157">
        <v>2000</v>
      </c>
      <c r="C13" s="157"/>
      <c r="D13" s="157"/>
      <c r="E13" s="129">
        <f t="shared" si="1"/>
        <v>2000</v>
      </c>
      <c r="F13" s="133">
        <f t="shared" si="0"/>
        <v>0.32901857821497904</v>
      </c>
      <c r="G13" s="88"/>
    </row>
    <row r="14" spans="1:7" ht="12" customHeight="1">
      <c r="A14" s="6" t="s">
        <v>298</v>
      </c>
      <c r="B14" s="157">
        <v>10000</v>
      </c>
      <c r="C14" s="157"/>
      <c r="D14" s="157"/>
      <c r="E14" s="129">
        <f t="shared" si="1"/>
        <v>10000</v>
      </c>
      <c r="F14" s="133">
        <f t="shared" si="0"/>
        <v>1.6450928910748952</v>
      </c>
      <c r="G14" s="88"/>
    </row>
    <row r="15" spans="1:7" ht="12" customHeight="1">
      <c r="A15" s="6" t="s">
        <v>464</v>
      </c>
      <c r="B15" s="157">
        <v>16180</v>
      </c>
      <c r="C15" s="157"/>
      <c r="D15" s="157"/>
      <c r="E15" s="129">
        <f t="shared" si="1"/>
        <v>16180</v>
      </c>
      <c r="F15" s="133">
        <f t="shared" si="0"/>
        <v>2.66176029775918</v>
      </c>
      <c r="G15" s="88"/>
    </row>
    <row r="16" spans="1:7" ht="12" customHeight="1">
      <c r="A16" s="1" t="s">
        <v>149</v>
      </c>
      <c r="B16" s="148">
        <f>5366+8297-3000-9954</f>
        <v>709</v>
      </c>
      <c r="C16" s="157">
        <f>-8297</f>
        <v>-8297</v>
      </c>
      <c r="D16" s="148"/>
      <c r="E16" s="129">
        <f t="shared" si="1"/>
        <v>-7588</v>
      </c>
      <c r="F16" s="133">
        <f t="shared" si="0"/>
        <v>-1.2482964857476304</v>
      </c>
      <c r="G16" s="157"/>
    </row>
    <row r="17" spans="1:7" ht="12" customHeight="1">
      <c r="A17" s="1" t="s">
        <v>168</v>
      </c>
      <c r="B17" s="148">
        <v>12350</v>
      </c>
      <c r="C17" s="157">
        <v>17356.72</v>
      </c>
      <c r="D17" s="148"/>
      <c r="E17" s="129">
        <f t="shared" si="1"/>
        <v>29706.72</v>
      </c>
      <c r="F17" s="133">
        <f t="shared" si="0"/>
        <v>4.887031388915242</v>
      </c>
      <c r="G17" s="157"/>
    </row>
    <row r="18" spans="1:7" ht="12" customHeight="1">
      <c r="A18" s="1" t="s">
        <v>321</v>
      </c>
      <c r="B18" s="148">
        <v>13400</v>
      </c>
      <c r="C18" s="157">
        <v>7700</v>
      </c>
      <c r="D18" s="148"/>
      <c r="E18" s="129">
        <f t="shared" si="1"/>
        <v>21100</v>
      </c>
      <c r="F18" s="133">
        <f t="shared" si="0"/>
        <v>3.4711460001680288</v>
      </c>
      <c r="G18" s="157"/>
    </row>
    <row r="19" spans="1:7" ht="12" customHeight="1">
      <c r="A19" s="7" t="s">
        <v>517</v>
      </c>
      <c r="B19" s="157">
        <v>21450</v>
      </c>
      <c r="C19" s="157"/>
      <c r="D19" s="157">
        <f>4600+7272</f>
        <v>11872</v>
      </c>
      <c r="E19" s="129">
        <f t="shared" si="1"/>
        <v>33322</v>
      </c>
      <c r="F19" s="133">
        <f t="shared" si="0"/>
        <v>5.481778531639766</v>
      </c>
      <c r="G19" s="88"/>
    </row>
    <row r="20" spans="1:7" ht="12" customHeight="1">
      <c r="A20" s="1" t="s">
        <v>188</v>
      </c>
      <c r="B20" s="157">
        <v>1850</v>
      </c>
      <c r="C20" s="157"/>
      <c r="D20" s="157"/>
      <c r="E20" s="129">
        <f>SUM(B20:D20)</f>
        <v>1850</v>
      </c>
      <c r="F20" s="133">
        <f t="shared" si="0"/>
        <v>0.3043421848488556</v>
      </c>
      <c r="G20" s="88"/>
    </row>
    <row r="21" spans="1:7" ht="12" customHeight="1">
      <c r="A21" s="1" t="s">
        <v>414</v>
      </c>
      <c r="B21" s="157">
        <f>4205-2398.6</f>
        <v>1806.4</v>
      </c>
      <c r="C21" s="157">
        <v>2200</v>
      </c>
      <c r="D21" s="157">
        <v>9192.75</v>
      </c>
      <c r="E21" s="129">
        <f t="shared" si="1"/>
        <v>13199.15</v>
      </c>
      <c r="F21" s="133">
        <f t="shared" si="0"/>
        <v>2.1713827833231205</v>
      </c>
      <c r="G21" s="88"/>
    </row>
    <row r="22" spans="1:7" ht="12" customHeight="1">
      <c r="A22" s="1" t="s">
        <v>170</v>
      </c>
      <c r="B22" s="157"/>
      <c r="C22" s="157">
        <v>9000</v>
      </c>
      <c r="D22" s="157"/>
      <c r="E22" s="129">
        <f t="shared" si="1"/>
        <v>9000</v>
      </c>
      <c r="F22" s="133">
        <f t="shared" si="0"/>
        <v>1.4805836019674057</v>
      </c>
      <c r="G22" s="88"/>
    </row>
    <row r="23" spans="1:7" ht="12" customHeight="1">
      <c r="A23" s="1" t="s">
        <v>138</v>
      </c>
      <c r="B23" s="157">
        <v>3300</v>
      </c>
      <c r="C23" s="157"/>
      <c r="D23" s="157"/>
      <c r="E23" s="129">
        <f t="shared" si="1"/>
        <v>3300</v>
      </c>
      <c r="F23" s="133">
        <f t="shared" si="0"/>
        <v>0.5428806540547154</v>
      </c>
      <c r="G23" s="88"/>
    </row>
    <row r="24" spans="1:7" ht="12" customHeight="1">
      <c r="A24" s="1" t="s">
        <v>204</v>
      </c>
      <c r="B24" s="157">
        <f>4000</f>
        <v>4000</v>
      </c>
      <c r="C24" s="157">
        <f>14710.73-4000</f>
        <v>10710.73</v>
      </c>
      <c r="D24" s="157"/>
      <c r="E24" s="129">
        <f t="shared" si="1"/>
        <v>14710.73</v>
      </c>
      <c r="F24" s="133">
        <f t="shared" si="0"/>
        <v>2.420051734552219</v>
      </c>
      <c r="G24" s="88"/>
    </row>
    <row r="25" spans="1:7" ht="12" customHeight="1">
      <c r="A25" s="1" t="s">
        <v>140</v>
      </c>
      <c r="B25" s="157">
        <v>11000</v>
      </c>
      <c r="C25" s="157"/>
      <c r="D25" s="157"/>
      <c r="E25" s="129">
        <f t="shared" si="1"/>
        <v>11000</v>
      </c>
      <c r="F25" s="133">
        <f t="shared" si="0"/>
        <v>1.8096021801823847</v>
      </c>
      <c r="G25" s="88"/>
    </row>
    <row r="26" spans="1:7" ht="12" customHeight="1">
      <c r="A26" s="1" t="s">
        <v>183</v>
      </c>
      <c r="B26" s="157"/>
      <c r="C26" s="157">
        <v>2597</v>
      </c>
      <c r="D26" s="157"/>
      <c r="E26" s="129">
        <f t="shared" si="1"/>
        <v>2597</v>
      </c>
      <c r="F26" s="133">
        <f t="shared" si="0"/>
        <v>0.42723062381215027</v>
      </c>
      <c r="G26" s="88"/>
    </row>
    <row r="27" spans="1:7" ht="12" customHeight="1">
      <c r="A27" s="1" t="s">
        <v>110</v>
      </c>
      <c r="B27" s="157"/>
      <c r="C27" s="157"/>
      <c r="D27" s="157">
        <v>16000</v>
      </c>
      <c r="E27" s="129">
        <f>SUM(B27:D27)</f>
        <v>16000</v>
      </c>
      <c r="F27" s="133">
        <f>(E27/$E$53*100)</f>
        <v>2.6321486257198323</v>
      </c>
      <c r="G27" s="88"/>
    </row>
    <row r="28" spans="1:6" ht="12" customHeight="1">
      <c r="A28" s="1" t="s">
        <v>127</v>
      </c>
      <c r="B28" s="157">
        <v>9871</v>
      </c>
      <c r="C28" s="157"/>
      <c r="D28" s="157">
        <v>11484</v>
      </c>
      <c r="E28" s="129">
        <f t="shared" si="1"/>
        <v>21355</v>
      </c>
      <c r="F28" s="133">
        <f t="shared" si="0"/>
        <v>3.513095868890439</v>
      </c>
    </row>
    <row r="29" spans="1:7" ht="12" customHeight="1">
      <c r="A29" s="260" t="s">
        <v>122</v>
      </c>
      <c r="B29" s="157"/>
      <c r="C29" s="157"/>
      <c r="D29" s="157">
        <v>2577.18</v>
      </c>
      <c r="E29" s="129">
        <f>SUM(B29:D29)</f>
        <v>2577.18</v>
      </c>
      <c r="F29" s="133">
        <f>(E29/$E$53*100)</f>
        <v>0.4239700497020398</v>
      </c>
      <c r="G29" s="88"/>
    </row>
    <row r="30" spans="1:7" ht="12" customHeight="1">
      <c r="A30" s="1" t="s">
        <v>81</v>
      </c>
      <c r="B30" s="157">
        <v>30600</v>
      </c>
      <c r="C30" s="157">
        <v>17789.5</v>
      </c>
      <c r="D30" s="157"/>
      <c r="E30" s="129">
        <f t="shared" si="1"/>
        <v>48389.5</v>
      </c>
      <c r="F30" s="133">
        <f t="shared" si="0"/>
        <v>7.960522245266864</v>
      </c>
      <c r="G30" s="157"/>
    </row>
    <row r="31" spans="1:7" ht="12" customHeight="1">
      <c r="A31" s="1" t="s">
        <v>75</v>
      </c>
      <c r="B31" s="157">
        <v>7000</v>
      </c>
      <c r="C31" s="157"/>
      <c r="D31" s="157"/>
      <c r="E31" s="129">
        <f t="shared" si="1"/>
        <v>7000</v>
      </c>
      <c r="F31" s="133">
        <f t="shared" si="0"/>
        <v>1.1515650237524266</v>
      </c>
      <c r="G31" s="157"/>
    </row>
    <row r="32" spans="1:7" ht="12" customHeight="1">
      <c r="A32" s="1" t="s">
        <v>317</v>
      </c>
      <c r="B32" s="157">
        <v>12250</v>
      </c>
      <c r="C32" s="157"/>
      <c r="E32" s="129">
        <f>SUM(B32:D32)</f>
        <v>12250</v>
      </c>
      <c r="F32" s="133">
        <f t="shared" si="0"/>
        <v>2.0152387915667465</v>
      </c>
      <c r="G32" s="157"/>
    </row>
    <row r="33" spans="1:7" ht="12" customHeight="1">
      <c r="A33" s="1" t="s">
        <v>205</v>
      </c>
      <c r="B33" s="157">
        <v>24600</v>
      </c>
      <c r="C33" s="157">
        <f>6000-6000</f>
        <v>0</v>
      </c>
      <c r="D33" s="157">
        <v>-290</v>
      </c>
      <c r="E33" s="129">
        <f t="shared" si="1"/>
        <v>24310</v>
      </c>
      <c r="F33" s="133">
        <f t="shared" si="0"/>
        <v>3.9992208182030704</v>
      </c>
      <c r="G33" s="157"/>
    </row>
    <row r="34" spans="1:7" ht="12" customHeight="1">
      <c r="A34" s="1" t="s">
        <v>328</v>
      </c>
      <c r="B34" s="157">
        <f>15300-5850-7200</f>
        <v>2250</v>
      </c>
      <c r="C34" s="157"/>
      <c r="D34" s="157">
        <v>-3300</v>
      </c>
      <c r="E34" s="129">
        <f t="shared" si="1"/>
        <v>-1050</v>
      </c>
      <c r="F34" s="133">
        <f t="shared" si="0"/>
        <v>-0.172734753562864</v>
      </c>
      <c r="G34" s="157"/>
    </row>
    <row r="35" spans="1:7" ht="12" customHeight="1">
      <c r="A35" s="1" t="s">
        <v>76</v>
      </c>
      <c r="B35" s="157">
        <v>13800</v>
      </c>
      <c r="C35" s="157"/>
      <c r="D35" s="157"/>
      <c r="E35" s="129">
        <f t="shared" si="1"/>
        <v>13800</v>
      </c>
      <c r="F35" s="133">
        <f t="shared" si="0"/>
        <v>2.270228189683355</v>
      </c>
      <c r="G35" s="157"/>
    </row>
    <row r="36" spans="1:7" ht="12" customHeight="1">
      <c r="A36" s="1" t="s">
        <v>77</v>
      </c>
      <c r="B36" s="157">
        <v>6600</v>
      </c>
      <c r="C36" s="157"/>
      <c r="D36" s="157"/>
      <c r="E36" s="129">
        <f t="shared" si="1"/>
        <v>6600</v>
      </c>
      <c r="F36" s="133">
        <f t="shared" si="0"/>
        <v>1.0857613081094308</v>
      </c>
      <c r="G36" s="157"/>
    </row>
    <row r="37" spans="1:7" ht="12" customHeight="1">
      <c r="A37" s="1" t="s">
        <v>171</v>
      </c>
      <c r="B37" s="157">
        <v>786.77</v>
      </c>
      <c r="C37" s="157"/>
      <c r="D37" s="157"/>
      <c r="E37" s="129">
        <f t="shared" si="1"/>
        <v>786.77</v>
      </c>
      <c r="F37" s="133">
        <f t="shared" si="0"/>
        <v>0.12943097339109955</v>
      </c>
      <c r="G37" s="157"/>
    </row>
    <row r="38" spans="1:7" ht="12" customHeight="1">
      <c r="A38" s="1" t="s">
        <v>364</v>
      </c>
      <c r="B38" s="157"/>
      <c r="C38" s="157">
        <v>9094.44</v>
      </c>
      <c r="D38" s="157"/>
      <c r="E38" s="129">
        <f t="shared" si="1"/>
        <v>9094.44</v>
      </c>
      <c r="F38" s="133">
        <f t="shared" si="0"/>
        <v>1.496119859230717</v>
      </c>
      <c r="G38" s="157"/>
    </row>
    <row r="39" spans="1:7" ht="12" customHeight="1">
      <c r="A39" s="1" t="s">
        <v>389</v>
      </c>
      <c r="B39" s="157">
        <v>1800</v>
      </c>
      <c r="C39" s="157"/>
      <c r="D39" s="157"/>
      <c r="E39" s="129">
        <f t="shared" si="1"/>
        <v>1800</v>
      </c>
      <c r="F39" s="133">
        <f t="shared" si="0"/>
        <v>0.29611672039348114</v>
      </c>
      <c r="G39" s="88"/>
    </row>
    <row r="40" spans="1:7" ht="12" customHeight="1">
      <c r="A40" s="1" t="s">
        <v>283</v>
      </c>
      <c r="B40" s="157"/>
      <c r="C40" s="157">
        <v>9521.62</v>
      </c>
      <c r="D40" s="157"/>
      <c r="E40" s="129">
        <f t="shared" si="1"/>
        <v>9521.62</v>
      </c>
      <c r="F40" s="133">
        <f t="shared" si="0"/>
        <v>1.5663949373516544</v>
      </c>
      <c r="G40" s="88"/>
    </row>
    <row r="41" spans="1:7" ht="12" customHeight="1">
      <c r="A41" s="1" t="s">
        <v>82</v>
      </c>
      <c r="B41" s="157">
        <v>3188.94</v>
      </c>
      <c r="C41" s="157"/>
      <c r="D41" s="157"/>
      <c r="E41" s="129">
        <f t="shared" si="1"/>
        <v>3188.94</v>
      </c>
      <c r="F41" s="133">
        <f t="shared" si="0"/>
        <v>0.5246102524064377</v>
      </c>
      <c r="G41" s="88"/>
    </row>
    <row r="42" spans="1:7" ht="12" customHeight="1">
      <c r="A42" s="1" t="s">
        <v>324</v>
      </c>
      <c r="B42" s="157">
        <v>70000</v>
      </c>
      <c r="C42" s="157"/>
      <c r="D42" s="157"/>
      <c r="E42" s="129">
        <f t="shared" si="1"/>
        <v>70000</v>
      </c>
      <c r="F42" s="133">
        <f t="shared" si="0"/>
        <v>11.515650237524266</v>
      </c>
      <c r="G42" s="88"/>
    </row>
    <row r="43" spans="1:7" ht="12" customHeight="1">
      <c r="A43" s="1" t="s">
        <v>326</v>
      </c>
      <c r="B43" s="157">
        <v>9900</v>
      </c>
      <c r="C43" s="157"/>
      <c r="D43" s="157"/>
      <c r="E43" s="129">
        <f t="shared" si="1"/>
        <v>9900</v>
      </c>
      <c r="F43" s="133">
        <f t="shared" si="0"/>
        <v>1.6286419621641464</v>
      </c>
      <c r="G43" s="88"/>
    </row>
    <row r="44" spans="1:7" ht="12" customHeight="1">
      <c r="A44" s="7" t="s">
        <v>327</v>
      </c>
      <c r="B44" s="157">
        <v>64646</v>
      </c>
      <c r="C44" s="157">
        <v>3000</v>
      </c>
      <c r="D44" s="157"/>
      <c r="E44" s="129">
        <f t="shared" si="1"/>
        <v>67646</v>
      </c>
      <c r="F44" s="133">
        <f t="shared" si="0"/>
        <v>11.128395370965237</v>
      </c>
      <c r="G44" s="88"/>
    </row>
    <row r="45" spans="1:7" ht="12" customHeight="1">
      <c r="A45" s="1" t="s">
        <v>84</v>
      </c>
      <c r="B45" s="157">
        <v>5019</v>
      </c>
      <c r="C45" s="157"/>
      <c r="D45" s="157"/>
      <c r="E45" s="129">
        <f t="shared" si="1"/>
        <v>5019</v>
      </c>
      <c r="F45" s="133">
        <f t="shared" si="0"/>
        <v>0.8256721220304899</v>
      </c>
      <c r="G45" s="88"/>
    </row>
    <row r="46" spans="1:7" ht="12" customHeight="1">
      <c r="A46" s="1" t="s">
        <v>343</v>
      </c>
      <c r="B46" s="157"/>
      <c r="C46" s="157"/>
      <c r="D46" s="157">
        <v>-1873.45</v>
      </c>
      <c r="E46" s="129">
        <f>SUM(B46:D46)</f>
        <v>-1873.45</v>
      </c>
      <c r="F46" s="133">
        <f>(E46/$E$53*100)</f>
        <v>-0.30819992767842624</v>
      </c>
      <c r="G46" s="88"/>
    </row>
    <row r="47" spans="1:7" ht="12" customHeight="1">
      <c r="A47" s="7" t="s">
        <v>144</v>
      </c>
      <c r="B47" s="157"/>
      <c r="C47" s="157">
        <v>-4000</v>
      </c>
      <c r="D47" s="157"/>
      <c r="E47" s="129">
        <f>SUM(B47:D47)</f>
        <v>-4000</v>
      </c>
      <c r="F47" s="133">
        <f>(E47/$E$53*100)</f>
        <v>-0.6580371564299581</v>
      </c>
      <c r="G47" s="88"/>
    </row>
    <row r="48" spans="1:7" ht="12" customHeight="1">
      <c r="A48" s="1" t="s">
        <v>146</v>
      </c>
      <c r="B48" s="157"/>
      <c r="C48" s="287"/>
      <c r="D48" s="157">
        <v>46410</v>
      </c>
      <c r="E48" s="129">
        <f>SUM(B48:D48)</f>
        <v>46410</v>
      </c>
      <c r="F48" s="133">
        <f>(E48/$E$53*100)</f>
        <v>7.634876107478589</v>
      </c>
      <c r="G48" s="88"/>
    </row>
    <row r="49" spans="1:7" ht="12" customHeight="1">
      <c r="A49" s="7" t="s">
        <v>596</v>
      </c>
      <c r="B49" s="157"/>
      <c r="C49" s="287"/>
      <c r="D49" s="157">
        <v>5000</v>
      </c>
      <c r="E49" s="129">
        <f>SUM(B49:D49)</f>
        <v>5000</v>
      </c>
      <c r="F49" s="133">
        <f>(E49/$E$53*100)</f>
        <v>0.8225464455374476</v>
      </c>
      <c r="G49" s="88"/>
    </row>
    <row r="50" spans="1:7" ht="12" customHeight="1">
      <c r="A50" s="1" t="s">
        <v>185</v>
      </c>
      <c r="B50" s="157">
        <v>19500</v>
      </c>
      <c r="C50" s="157">
        <v>-6425</v>
      </c>
      <c r="D50" s="157"/>
      <c r="E50" s="129">
        <f t="shared" si="1"/>
        <v>13075</v>
      </c>
      <c r="F50" s="133">
        <f t="shared" si="0"/>
        <v>2.1509589550804256</v>
      </c>
      <c r="G50" s="88"/>
    </row>
    <row r="51" spans="1:7" ht="12" customHeight="1">
      <c r="A51" s="1" t="s">
        <v>212</v>
      </c>
      <c r="B51" s="157">
        <v>-3500</v>
      </c>
      <c r="C51" s="157"/>
      <c r="E51" s="129">
        <f>SUM(B51:D51)</f>
        <v>-3500</v>
      </c>
      <c r="F51" s="133">
        <f t="shared" si="0"/>
        <v>-0.5757825118762133</v>
      </c>
      <c r="G51" s="88"/>
    </row>
    <row r="52" spans="2:7" ht="9" customHeight="1">
      <c r="B52" s="157"/>
      <c r="C52" s="157"/>
      <c r="D52" s="338"/>
      <c r="E52" s="129"/>
      <c r="F52" s="133"/>
      <c r="G52" s="157"/>
    </row>
    <row r="53" spans="1:7" ht="12" customHeight="1" thickBot="1">
      <c r="A53" s="4" t="s">
        <v>95</v>
      </c>
      <c r="B53" s="158">
        <f>SUM(B9:B52)</f>
        <v>410881.1</v>
      </c>
      <c r="C53" s="158">
        <f>SUM(C9:C52)</f>
        <v>93414.83</v>
      </c>
      <c r="D53" s="158">
        <f>SUM(D9:D52)</f>
        <v>103572.48000000001</v>
      </c>
      <c r="E53" s="158">
        <f>SUM(E9:E52)</f>
        <v>607868.4100000001</v>
      </c>
      <c r="F53" s="158">
        <f>SUM(F9:F52)</f>
        <v>99.99999999999999</v>
      </c>
      <c r="G53" s="157"/>
    </row>
    <row r="54" spans="2:7" ht="12" customHeight="1" thickTop="1">
      <c r="B54" s="157"/>
      <c r="C54" s="157"/>
      <c r="D54" s="157"/>
      <c r="E54" s="129"/>
      <c r="F54" s="133"/>
      <c r="G54" s="157"/>
    </row>
    <row r="55" spans="2:7" ht="12" customHeight="1">
      <c r="B55" s="157"/>
      <c r="C55" s="157"/>
      <c r="D55" s="88"/>
      <c r="E55" s="129"/>
      <c r="F55" s="133"/>
      <c r="G55" s="157"/>
    </row>
    <row r="56" spans="2:7" ht="12" customHeight="1">
      <c r="B56" s="129"/>
      <c r="C56" s="129"/>
      <c r="D56" s="88"/>
      <c r="E56" s="88"/>
      <c r="F56" s="88"/>
      <c r="G56" s="157"/>
    </row>
    <row r="57" spans="2:7" ht="12" customHeight="1">
      <c r="B57" s="129"/>
      <c r="C57" s="129"/>
      <c r="D57" s="88"/>
      <c r="E57" s="88"/>
      <c r="F57" s="88"/>
      <c r="G57" s="157"/>
    </row>
    <row r="58" spans="2:7" ht="12" customHeight="1">
      <c r="B58" s="32"/>
      <c r="C58" s="32"/>
      <c r="D58" s="32"/>
      <c r="E58" s="36"/>
      <c r="F58" s="33"/>
      <c r="G58" s="13"/>
    </row>
    <row r="59" spans="2:5" ht="12.75">
      <c r="B59" s="1"/>
      <c r="C59" s="1"/>
      <c r="D59" s="1"/>
      <c r="E59" s="1"/>
    </row>
    <row r="61" spans="2:4" ht="12.75">
      <c r="B61" s="62"/>
      <c r="C61" s="62"/>
      <c r="D61" s="24"/>
    </row>
    <row r="63" spans="2:4" ht="12.75">
      <c r="B63" s="24"/>
      <c r="C63" s="24"/>
      <c r="D63" s="24"/>
    </row>
    <row r="67" ht="12.75">
      <c r="D67" s="63"/>
    </row>
    <row r="70" ht="12.75">
      <c r="D70" s="63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7086614173228347" header="0" footer="0.3937007874015748"/>
  <pageSetup horizontalDpi="600" verticalDpi="600" orientation="portrait" scale="95" r:id="rId1"/>
  <headerFooter alignWithMargins="0">
    <oddFooter>&amp;R&amp;P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7"/>
  <sheetViews>
    <sheetView zoomScale="125" zoomScaleNormal="125" zoomScalePageLayoutView="0" workbookViewId="0" topLeftCell="A1">
      <selection activeCell="E1" sqref="E1:F1"/>
    </sheetView>
  </sheetViews>
  <sheetFormatPr defaultColWidth="11.421875" defaultRowHeight="12.75"/>
  <cols>
    <col min="1" max="1" width="41.8515625" style="1" customWidth="1"/>
    <col min="2" max="5" width="11.28125" style="22" customWidth="1"/>
    <col min="6" max="6" width="6.8515625" style="1" customWidth="1"/>
    <col min="7" max="16384" width="11.421875" style="1" customWidth="1"/>
  </cols>
  <sheetData>
    <row r="1" spans="5:6" ht="12.75">
      <c r="E1" s="354" t="s">
        <v>116</v>
      </c>
      <c r="F1" s="354"/>
    </row>
    <row r="2" spans="1:6" ht="12.75">
      <c r="A2" s="351" t="s">
        <v>260</v>
      </c>
      <c r="B2" s="351"/>
      <c r="C2" s="351"/>
      <c r="D2" s="351"/>
      <c r="E2" s="351"/>
      <c r="F2" s="351"/>
    </row>
    <row r="3" spans="1:6" ht="12.75">
      <c r="A3" s="353" t="s">
        <v>359</v>
      </c>
      <c r="B3" s="353"/>
      <c r="C3" s="353"/>
      <c r="D3" s="353"/>
      <c r="E3" s="353"/>
      <c r="F3" s="353"/>
    </row>
    <row r="4" spans="1:6" ht="12.75">
      <c r="A4" s="351" t="s">
        <v>272</v>
      </c>
      <c r="B4" s="351"/>
      <c r="C4" s="351"/>
      <c r="D4" s="351"/>
      <c r="E4" s="351"/>
      <c r="F4" s="351"/>
    </row>
    <row r="5" spans="1:7" ht="15">
      <c r="A5" s="351" t="s">
        <v>508</v>
      </c>
      <c r="B5" s="351"/>
      <c r="C5" s="351"/>
      <c r="D5" s="351"/>
      <c r="E5" s="351"/>
      <c r="F5" s="351"/>
      <c r="G5" s="190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1:6" ht="9" customHeight="1">
      <c r="A8" s="2"/>
      <c r="B8" s="23"/>
      <c r="C8" s="23"/>
      <c r="D8" s="31"/>
      <c r="E8" s="23"/>
      <c r="F8" s="2"/>
    </row>
    <row r="9" spans="1:7" ht="12.75">
      <c r="A9" s="1" t="s">
        <v>427</v>
      </c>
      <c r="B9" s="155">
        <v>32487.5</v>
      </c>
      <c r="C9" s="123">
        <v>2766284.99</v>
      </c>
      <c r="D9" s="155"/>
      <c r="E9" s="123">
        <f>SUM(B9:D9)</f>
        <v>2798772.49</v>
      </c>
      <c r="F9" s="124">
        <f aca="true" t="shared" si="0" ref="F9:F39">(E9/$E$113*100)</f>
        <v>6.598401328007098</v>
      </c>
      <c r="G9" s="155"/>
    </row>
    <row r="10" spans="1:7" ht="12.75">
      <c r="A10" s="6" t="s">
        <v>71</v>
      </c>
      <c r="B10" s="155">
        <v>16200</v>
      </c>
      <c r="C10" s="123">
        <v>268000.4</v>
      </c>
      <c r="D10" s="155">
        <v>10400</v>
      </c>
      <c r="E10" s="123">
        <f aca="true" t="shared" si="1" ref="E10:E76">SUM(B10:D10)</f>
        <v>294600.4</v>
      </c>
      <c r="F10" s="124">
        <f t="shared" si="0"/>
        <v>0.6945515141144689</v>
      </c>
      <c r="G10" s="155"/>
    </row>
    <row r="11" spans="1:6" ht="12.75">
      <c r="A11" s="6" t="s">
        <v>428</v>
      </c>
      <c r="B11" s="155">
        <v>17000</v>
      </c>
      <c r="C11" s="123"/>
      <c r="D11" s="155">
        <v>11000</v>
      </c>
      <c r="E11" s="123">
        <f t="shared" si="1"/>
        <v>28000</v>
      </c>
      <c r="F11" s="124">
        <f t="shared" si="0"/>
        <v>0.06601295312295953</v>
      </c>
    </row>
    <row r="12" spans="1:6" ht="12.75">
      <c r="A12" s="1" t="s">
        <v>421</v>
      </c>
      <c r="B12" s="155">
        <v>2339196.5</v>
      </c>
      <c r="C12" s="123">
        <v>2156455</v>
      </c>
      <c r="D12" s="155">
        <f>799540+1127362+1000000-15350</f>
        <v>2911552</v>
      </c>
      <c r="E12" s="123">
        <f t="shared" si="1"/>
        <v>7407203.5</v>
      </c>
      <c r="F12" s="124">
        <f t="shared" si="0"/>
        <v>17.46326347920435</v>
      </c>
    </row>
    <row r="13" spans="1:6" ht="12.75">
      <c r="A13" s="1" t="s">
        <v>307</v>
      </c>
      <c r="B13" s="123">
        <v>225700</v>
      </c>
      <c r="C13" s="123">
        <v>68896.7</v>
      </c>
      <c r="D13" s="155">
        <v>150830</v>
      </c>
      <c r="E13" s="123">
        <f t="shared" si="1"/>
        <v>445426.7</v>
      </c>
      <c r="F13" s="124">
        <f t="shared" si="0"/>
        <v>1.0501404238148058</v>
      </c>
    </row>
    <row r="14" spans="1:6" ht="12.75">
      <c r="A14" s="1" t="s">
        <v>170</v>
      </c>
      <c r="B14" s="155">
        <v>989331.69</v>
      </c>
      <c r="C14" s="123"/>
      <c r="D14" s="155"/>
      <c r="E14" s="123">
        <f t="shared" si="1"/>
        <v>989331.69</v>
      </c>
      <c r="F14" s="124">
        <f t="shared" si="0"/>
        <v>2.3324538026795834</v>
      </c>
    </row>
    <row r="15" spans="1:6" ht="12.75">
      <c r="A15" s="1" t="s">
        <v>139</v>
      </c>
      <c r="B15" s="155"/>
      <c r="C15" s="123"/>
      <c r="D15" s="155">
        <v>29615.49</v>
      </c>
      <c r="E15" s="123">
        <f>SUM(B15:D15)</f>
        <v>29615.49</v>
      </c>
      <c r="F15" s="124">
        <f>(E15/$E$113*100)</f>
        <v>0.06982164118155273</v>
      </c>
    </row>
    <row r="16" spans="1:6" ht="12.75">
      <c r="A16" s="1" t="s">
        <v>301</v>
      </c>
      <c r="B16" s="1"/>
      <c r="C16" s="123">
        <v>8000</v>
      </c>
      <c r="D16" s="155"/>
      <c r="E16" s="123">
        <f t="shared" si="1"/>
        <v>8000</v>
      </c>
      <c r="F16" s="124">
        <f t="shared" si="0"/>
        <v>0.01886084374941701</v>
      </c>
    </row>
    <row r="17" spans="1:6" ht="12.75">
      <c r="A17" s="1" t="s">
        <v>142</v>
      </c>
      <c r="B17" s="155">
        <v>363922.5</v>
      </c>
      <c r="C17" s="123">
        <v>177196.26</v>
      </c>
      <c r="D17" s="155">
        <v>92938</v>
      </c>
      <c r="E17" s="123">
        <f t="shared" si="1"/>
        <v>634056.76</v>
      </c>
      <c r="F17" s="124">
        <f t="shared" si="0"/>
        <v>1.4948556848277001</v>
      </c>
    </row>
    <row r="18" spans="1:6" ht="12.75">
      <c r="A18" s="1" t="s">
        <v>186</v>
      </c>
      <c r="B18" s="155">
        <v>308474.62</v>
      </c>
      <c r="C18" s="123">
        <v>126344.5</v>
      </c>
      <c r="D18" s="155">
        <v>140425.12</v>
      </c>
      <c r="E18" s="123">
        <f t="shared" si="1"/>
        <v>575244.24</v>
      </c>
      <c r="F18" s="124">
        <f t="shared" si="0"/>
        <v>1.356198966049017</v>
      </c>
    </row>
    <row r="19" spans="1:6" ht="12.75">
      <c r="A19" s="1" t="s">
        <v>130</v>
      </c>
      <c r="B19" s="155">
        <v>639701.5</v>
      </c>
      <c r="C19" s="123">
        <v>456197.5</v>
      </c>
      <c r="D19" s="155">
        <v>19791</v>
      </c>
      <c r="E19" s="123">
        <f t="shared" si="1"/>
        <v>1115690</v>
      </c>
      <c r="F19" s="124">
        <f t="shared" si="0"/>
        <v>2.6303568453483828</v>
      </c>
    </row>
    <row r="20" spans="1:6" ht="12.75">
      <c r="A20" s="7" t="s">
        <v>487</v>
      </c>
      <c r="B20" s="155"/>
      <c r="C20" s="123">
        <v>16000</v>
      </c>
      <c r="D20" s="155"/>
      <c r="E20" s="123">
        <f t="shared" si="1"/>
        <v>16000</v>
      </c>
      <c r="F20" s="124">
        <f t="shared" si="0"/>
        <v>0.03772168749883402</v>
      </c>
    </row>
    <row r="21" spans="1:6" ht="12.75">
      <c r="A21" s="1" t="s">
        <v>81</v>
      </c>
      <c r="B21" s="155"/>
      <c r="C21" s="123">
        <f>152987.5+240000</f>
        <v>392987.5</v>
      </c>
      <c r="D21" s="155"/>
      <c r="E21" s="123">
        <f t="shared" si="1"/>
        <v>392987.5</v>
      </c>
      <c r="F21" s="124">
        <f t="shared" si="0"/>
        <v>0.9265094791217522</v>
      </c>
    </row>
    <row r="22" spans="1:6" ht="12.75">
      <c r="A22" s="260" t="s">
        <v>597</v>
      </c>
      <c r="B22" s="155"/>
      <c r="C22" s="123"/>
      <c r="D22" s="155">
        <v>10000</v>
      </c>
      <c r="E22" s="123">
        <f>SUM(B22:D22)</f>
        <v>10000</v>
      </c>
      <c r="F22" s="124">
        <f>(E22/$E$113*100)</f>
        <v>0.02357605468677126</v>
      </c>
    </row>
    <row r="23" spans="1:6" ht="12.75">
      <c r="A23" s="1" t="s">
        <v>75</v>
      </c>
      <c r="B23" s="155">
        <v>60000</v>
      </c>
      <c r="C23" s="123">
        <f>40000+60000</f>
        <v>100000</v>
      </c>
      <c r="D23" s="155">
        <v>60000</v>
      </c>
      <c r="E23" s="123">
        <f t="shared" si="1"/>
        <v>220000</v>
      </c>
      <c r="F23" s="124">
        <f t="shared" si="0"/>
        <v>0.5186732031089677</v>
      </c>
    </row>
    <row r="24" spans="1:6" ht="12.75">
      <c r="A24" s="1" t="s">
        <v>353</v>
      </c>
      <c r="B24" s="155">
        <v>20000</v>
      </c>
      <c r="C24" s="123">
        <v>8941.7</v>
      </c>
      <c r="D24" s="155">
        <v>40000</v>
      </c>
      <c r="E24" s="123">
        <f t="shared" si="1"/>
        <v>68941.7</v>
      </c>
      <c r="F24" s="124">
        <f t="shared" si="0"/>
        <v>0.1625373289398978</v>
      </c>
    </row>
    <row r="25" spans="1:6" ht="12.75">
      <c r="A25" s="1" t="s">
        <v>317</v>
      </c>
      <c r="B25" s="155">
        <f>206841.8+300000-685.8</f>
        <v>506156</v>
      </c>
      <c r="C25" s="123">
        <f>164089.76+300000</f>
        <v>464089.76</v>
      </c>
      <c r="D25" s="155">
        <v>300000</v>
      </c>
      <c r="E25" s="123">
        <f t="shared" si="1"/>
        <v>1270245.76</v>
      </c>
      <c r="F25" s="124">
        <f t="shared" si="0"/>
        <v>2.9947383503399325</v>
      </c>
    </row>
    <row r="26" spans="1:6" ht="12.75">
      <c r="A26" s="1" t="s">
        <v>205</v>
      </c>
      <c r="B26" s="155">
        <v>100000</v>
      </c>
      <c r="C26" s="123">
        <f>15000+100000</f>
        <v>115000</v>
      </c>
      <c r="D26" s="155">
        <v>100000</v>
      </c>
      <c r="E26" s="123">
        <f t="shared" si="1"/>
        <v>315000</v>
      </c>
      <c r="F26" s="124">
        <f t="shared" si="0"/>
        <v>0.7426457226332948</v>
      </c>
    </row>
    <row r="27" spans="1:6" ht="12.75">
      <c r="A27" s="1" t="s">
        <v>323</v>
      </c>
      <c r="B27" s="155">
        <f>440000+100000</f>
        <v>540000</v>
      </c>
      <c r="C27" s="123">
        <v>18446.36</v>
      </c>
      <c r="D27" s="155"/>
      <c r="E27" s="123">
        <f t="shared" si="1"/>
        <v>558446.36</v>
      </c>
      <c r="F27" s="124">
        <f t="shared" si="0"/>
        <v>1.3165961922988352</v>
      </c>
    </row>
    <row r="28" spans="1:6" ht="12.75">
      <c r="A28" s="1" t="s">
        <v>328</v>
      </c>
      <c r="B28" s="155">
        <f>120088+155000-62700</f>
        <v>212388</v>
      </c>
      <c r="C28" s="123">
        <f>120180.46+155000</f>
        <v>275180.46</v>
      </c>
      <c r="D28" s="155">
        <v>155000</v>
      </c>
      <c r="E28" s="123">
        <f t="shared" si="1"/>
        <v>642568.46</v>
      </c>
      <c r="F28" s="124">
        <f t="shared" si="0"/>
        <v>1.514922915295439</v>
      </c>
    </row>
    <row r="29" spans="1:6" ht="12.75">
      <c r="A29" s="7" t="s">
        <v>518</v>
      </c>
      <c r="B29" s="155">
        <v>45500</v>
      </c>
      <c r="C29" s="123"/>
      <c r="D29" s="155"/>
      <c r="E29" s="123">
        <f t="shared" si="1"/>
        <v>45500</v>
      </c>
      <c r="F29" s="124">
        <f t="shared" si="0"/>
        <v>0.10727104882480923</v>
      </c>
    </row>
    <row r="30" spans="1:6" ht="12.75">
      <c r="A30" s="1" t="s">
        <v>76</v>
      </c>
      <c r="B30" s="155">
        <f>110000+500000</f>
        <v>610000</v>
      </c>
      <c r="C30" s="123">
        <f>388455.78+500000</f>
        <v>888455.78</v>
      </c>
      <c r="D30" s="155">
        <f>500000-2480</f>
        <v>497520</v>
      </c>
      <c r="E30" s="123">
        <f t="shared" si="1"/>
        <v>1995975.78</v>
      </c>
      <c r="F30" s="124">
        <f t="shared" si="0"/>
        <v>4.705723414275092</v>
      </c>
    </row>
    <row r="31" spans="1:6" ht="12.75">
      <c r="A31" s="1" t="s">
        <v>329</v>
      </c>
      <c r="B31" s="155">
        <f>48700+290000</f>
        <v>338700</v>
      </c>
      <c r="C31" s="123">
        <f>195665.9+300000-800</f>
        <v>494865.9</v>
      </c>
      <c r="D31" s="155"/>
      <c r="E31" s="123">
        <f t="shared" si="1"/>
        <v>833565.9</v>
      </c>
      <c r="F31" s="124">
        <f t="shared" si="0"/>
        <v>1.9652195243427706</v>
      </c>
    </row>
    <row r="32" spans="1:6" ht="12.75">
      <c r="A32" s="1" t="s">
        <v>312</v>
      </c>
      <c r="B32" s="155">
        <f>50000+50000</f>
        <v>100000</v>
      </c>
      <c r="C32" s="123"/>
      <c r="D32" s="155">
        <f>50000+50000</f>
        <v>100000</v>
      </c>
      <c r="E32" s="123">
        <f t="shared" si="1"/>
        <v>200000</v>
      </c>
      <c r="F32" s="124">
        <f t="shared" si="0"/>
        <v>0.4715210937354252</v>
      </c>
    </row>
    <row r="33" spans="1:6" ht="12.75">
      <c r="A33" s="1" t="s">
        <v>330</v>
      </c>
      <c r="B33" s="155">
        <v>70000</v>
      </c>
      <c r="C33" s="123">
        <f>23000+70000</f>
        <v>93000</v>
      </c>
      <c r="D33" s="155">
        <v>70000</v>
      </c>
      <c r="E33" s="123">
        <f t="shared" si="1"/>
        <v>233000</v>
      </c>
      <c r="F33" s="124">
        <f t="shared" si="0"/>
        <v>0.5493220742017704</v>
      </c>
    </row>
    <row r="34" spans="1:6" ht="12.75">
      <c r="A34" s="1" t="s">
        <v>529</v>
      </c>
      <c r="B34" s="155"/>
      <c r="C34" s="123">
        <v>25000</v>
      </c>
      <c r="D34" s="155"/>
      <c r="E34" s="123">
        <f t="shared" si="1"/>
        <v>25000</v>
      </c>
      <c r="F34" s="124">
        <f t="shared" si="0"/>
        <v>0.05894013671692815</v>
      </c>
    </row>
    <row r="35" spans="1:6" ht="12.75">
      <c r="A35" s="1" t="s">
        <v>77</v>
      </c>
      <c r="B35" s="155">
        <v>20000</v>
      </c>
      <c r="C35" s="123">
        <v>10000</v>
      </c>
      <c r="D35" s="155">
        <v>20000</v>
      </c>
      <c r="E35" s="123">
        <f t="shared" si="1"/>
        <v>50000</v>
      </c>
      <c r="F35" s="124">
        <f t="shared" si="0"/>
        <v>0.1178802734338563</v>
      </c>
    </row>
    <row r="36" spans="1:6" ht="12.75">
      <c r="A36" s="1" t="s">
        <v>206</v>
      </c>
      <c r="B36" s="155">
        <f>38400+160000</f>
        <v>198400</v>
      </c>
      <c r="C36" s="123">
        <f>20000+160000</f>
        <v>180000</v>
      </c>
      <c r="D36" s="155"/>
      <c r="E36" s="123">
        <f t="shared" si="1"/>
        <v>378400</v>
      </c>
      <c r="F36" s="124">
        <f t="shared" si="0"/>
        <v>0.8921179093474245</v>
      </c>
    </row>
    <row r="37" spans="1:6" ht="12.75">
      <c r="A37" s="1" t="s">
        <v>171</v>
      </c>
      <c r="B37" s="155">
        <f>271552.69+250000</f>
        <v>521552.69</v>
      </c>
      <c r="C37" s="123">
        <f>19400+125000</f>
        <v>144400</v>
      </c>
      <c r="D37" s="155">
        <v>250000</v>
      </c>
      <c r="E37" s="123">
        <f t="shared" si="1"/>
        <v>915952.69</v>
      </c>
      <c r="F37" s="124">
        <f t="shared" si="0"/>
        <v>2.1594550709935243</v>
      </c>
    </row>
    <row r="38" spans="1:6" ht="12.75">
      <c r="A38" s="1" t="s">
        <v>338</v>
      </c>
      <c r="B38" s="155"/>
      <c r="C38" s="123">
        <v>400000</v>
      </c>
      <c r="D38" s="155"/>
      <c r="E38" s="123">
        <f t="shared" si="1"/>
        <v>400000</v>
      </c>
      <c r="F38" s="124">
        <f t="shared" si="0"/>
        <v>0.9430421874708504</v>
      </c>
    </row>
    <row r="39" spans="1:6" ht="12.75">
      <c r="A39" s="1" t="s">
        <v>339</v>
      </c>
      <c r="B39" s="155">
        <v>12000</v>
      </c>
      <c r="C39" s="123">
        <f>17322.4+12000</f>
        <v>29322.4</v>
      </c>
      <c r="D39" s="155">
        <v>20000</v>
      </c>
      <c r="E39" s="123">
        <f t="shared" si="1"/>
        <v>61322.4</v>
      </c>
      <c r="F39" s="124">
        <f t="shared" si="0"/>
        <v>0.1445740255924062</v>
      </c>
    </row>
    <row r="40" spans="1:6" ht="12.75">
      <c r="A40" s="1" t="s">
        <v>331</v>
      </c>
      <c r="B40" s="155">
        <f>21000+140000</f>
        <v>161000</v>
      </c>
      <c r="C40" s="123">
        <f>24000+140000</f>
        <v>164000</v>
      </c>
      <c r="D40" s="155">
        <v>140000</v>
      </c>
      <c r="E40" s="123">
        <f t="shared" si="1"/>
        <v>465000</v>
      </c>
      <c r="F40" s="124">
        <f aca="true" t="shared" si="2" ref="F40:F72">(E40/$E$113*100)</f>
        <v>1.0962865429348636</v>
      </c>
    </row>
    <row r="41" spans="1:6" ht="12.75">
      <c r="A41" s="1" t="s">
        <v>181</v>
      </c>
      <c r="B41" s="155">
        <v>25000</v>
      </c>
      <c r="C41" s="123">
        <f>10000+25000</f>
        <v>35000</v>
      </c>
      <c r="D41" s="155">
        <v>25000</v>
      </c>
      <c r="E41" s="123">
        <f t="shared" si="1"/>
        <v>85000</v>
      </c>
      <c r="F41" s="124">
        <f t="shared" si="2"/>
        <v>0.20039646483755572</v>
      </c>
    </row>
    <row r="42" spans="1:6" ht="12.75">
      <c r="A42" s="1" t="s">
        <v>387</v>
      </c>
      <c r="B42" s="155">
        <f>12000+100000</f>
        <v>112000</v>
      </c>
      <c r="C42" s="123">
        <v>200000</v>
      </c>
      <c r="D42" s="155"/>
      <c r="E42" s="123">
        <f t="shared" si="1"/>
        <v>312000</v>
      </c>
      <c r="F42" s="124">
        <f t="shared" si="2"/>
        <v>0.7355729062272633</v>
      </c>
    </row>
    <row r="43" spans="1:6" ht="12.75">
      <c r="A43" s="1" t="s">
        <v>371</v>
      </c>
      <c r="B43" s="155">
        <f>40000+50000</f>
        <v>90000</v>
      </c>
      <c r="C43" s="123">
        <f>110000+50000</f>
        <v>160000</v>
      </c>
      <c r="D43" s="155">
        <v>50000</v>
      </c>
      <c r="E43" s="123">
        <f t="shared" si="1"/>
        <v>300000</v>
      </c>
      <c r="F43" s="124">
        <f t="shared" si="2"/>
        <v>0.7072816406031379</v>
      </c>
    </row>
    <row r="44" spans="1:6" ht="12.75">
      <c r="A44" s="1" t="s">
        <v>78</v>
      </c>
      <c r="B44" s="155">
        <v>85291.52</v>
      </c>
      <c r="C44" s="123">
        <v>287650.63</v>
      </c>
      <c r="D44" s="155"/>
      <c r="E44" s="123">
        <f t="shared" si="1"/>
        <v>372942.15</v>
      </c>
      <c r="F44" s="124">
        <f t="shared" si="2"/>
        <v>0.879250452340205</v>
      </c>
    </row>
    <row r="45" spans="1:6" ht="12.75">
      <c r="A45" s="1" t="s">
        <v>364</v>
      </c>
      <c r="B45" s="155">
        <f>40344+100000</f>
        <v>140344</v>
      </c>
      <c r="C45" s="123">
        <f>68590.07+100000</f>
        <v>168590.07</v>
      </c>
      <c r="D45" s="155">
        <f>20000+100000</f>
        <v>120000</v>
      </c>
      <c r="E45" s="123">
        <f t="shared" si="1"/>
        <v>428934.07</v>
      </c>
      <c r="F45" s="124">
        <f t="shared" si="2"/>
        <v>1.0112573091339374</v>
      </c>
    </row>
    <row r="46" spans="1:6" ht="12.75">
      <c r="A46" s="1" t="s">
        <v>332</v>
      </c>
      <c r="B46" s="155">
        <v>100000</v>
      </c>
      <c r="C46" s="123">
        <f>115200+100000</f>
        <v>215200</v>
      </c>
      <c r="D46" s="155">
        <v>100000</v>
      </c>
      <c r="E46" s="123">
        <f t="shared" si="1"/>
        <v>415200</v>
      </c>
      <c r="F46" s="124">
        <f t="shared" si="2"/>
        <v>0.9788777905947429</v>
      </c>
    </row>
    <row r="47" spans="1:6" ht="12.75">
      <c r="A47" s="1" t="s">
        <v>333</v>
      </c>
      <c r="B47" s="155">
        <v>180000</v>
      </c>
      <c r="C47" s="123">
        <v>180000</v>
      </c>
      <c r="D47" s="155">
        <v>180000</v>
      </c>
      <c r="E47" s="123">
        <f t="shared" si="1"/>
        <v>540000</v>
      </c>
      <c r="F47" s="124">
        <f t="shared" si="2"/>
        <v>1.273106953085648</v>
      </c>
    </row>
    <row r="48" spans="1:6" ht="12.75">
      <c r="A48" s="1" t="s">
        <v>289</v>
      </c>
      <c r="B48" s="155"/>
      <c r="C48" s="123">
        <v>150000</v>
      </c>
      <c r="D48" s="155">
        <v>100000</v>
      </c>
      <c r="E48" s="123">
        <f t="shared" si="1"/>
        <v>250000</v>
      </c>
      <c r="F48" s="124">
        <f t="shared" si="2"/>
        <v>0.5894013671692815</v>
      </c>
    </row>
    <row r="49" spans="1:6" ht="12.75">
      <c r="A49" s="1" t="s">
        <v>388</v>
      </c>
      <c r="B49" s="155">
        <v>100000</v>
      </c>
      <c r="C49" s="123">
        <f>25833.2+100000</f>
        <v>125833.2</v>
      </c>
      <c r="D49" s="155">
        <v>100000</v>
      </c>
      <c r="E49" s="123">
        <f t="shared" si="1"/>
        <v>325833.2</v>
      </c>
      <c r="F49" s="124">
        <f t="shared" si="2"/>
        <v>0.7681861341965678</v>
      </c>
    </row>
    <row r="50" spans="1:6" ht="12.75">
      <c r="A50" s="1" t="s">
        <v>173</v>
      </c>
      <c r="B50" s="155">
        <v>100000</v>
      </c>
      <c r="C50" s="123">
        <v>50000</v>
      </c>
      <c r="D50" s="155">
        <f>36960+100000</f>
        <v>136960</v>
      </c>
      <c r="E50" s="123">
        <f t="shared" si="1"/>
        <v>286960</v>
      </c>
      <c r="F50" s="124">
        <f t="shared" si="2"/>
        <v>0.6765384652915881</v>
      </c>
    </row>
    <row r="51" spans="1:6" ht="12.75">
      <c r="A51" s="1" t="s">
        <v>190</v>
      </c>
      <c r="B51" s="155">
        <v>240000</v>
      </c>
      <c r="C51" s="123">
        <f>84405.96+60000</f>
        <v>144405.96000000002</v>
      </c>
      <c r="D51" s="155">
        <v>120000</v>
      </c>
      <c r="E51" s="123">
        <f t="shared" si="1"/>
        <v>504405.96</v>
      </c>
      <c r="F51" s="124">
        <f t="shared" si="2"/>
        <v>1.1891902497293358</v>
      </c>
    </row>
    <row r="52" spans="1:6" ht="12.75" customHeight="1">
      <c r="A52" s="1" t="s">
        <v>207</v>
      </c>
      <c r="B52" s="155">
        <f>14000+100000</f>
        <v>114000</v>
      </c>
      <c r="C52" s="123">
        <f>44000+100000</f>
        <v>144000</v>
      </c>
      <c r="D52" s="155">
        <v>100000</v>
      </c>
      <c r="E52" s="123">
        <f t="shared" si="1"/>
        <v>358000</v>
      </c>
      <c r="F52" s="124">
        <f t="shared" si="2"/>
        <v>0.8440227577864112</v>
      </c>
    </row>
    <row r="53" spans="1:6" ht="12.75" customHeight="1">
      <c r="A53" s="1" t="s">
        <v>389</v>
      </c>
      <c r="B53" s="155">
        <v>150000</v>
      </c>
      <c r="C53" s="123">
        <f>25000+150000</f>
        <v>175000</v>
      </c>
      <c r="D53" s="155">
        <v>149454.62</v>
      </c>
      <c r="E53" s="123">
        <f t="shared" si="1"/>
        <v>474454.62</v>
      </c>
      <c r="F53" s="124">
        <f t="shared" si="2"/>
        <v>1.118576806751128</v>
      </c>
    </row>
    <row r="54" spans="1:6" ht="12.75" customHeight="1">
      <c r="A54" s="1" t="s">
        <v>174</v>
      </c>
      <c r="B54" s="155">
        <v>150000</v>
      </c>
      <c r="C54" s="123">
        <f>35000+100000</f>
        <v>135000</v>
      </c>
      <c r="D54" s="155">
        <v>150000</v>
      </c>
      <c r="E54" s="123">
        <f t="shared" si="1"/>
        <v>435000</v>
      </c>
      <c r="F54" s="124">
        <f t="shared" si="2"/>
        <v>1.0255583788745497</v>
      </c>
    </row>
    <row r="55" spans="1:6" ht="12.75" customHeight="1">
      <c r="A55" s="1" t="s">
        <v>85</v>
      </c>
      <c r="B55" s="123">
        <f>65944+70000</f>
        <v>135944</v>
      </c>
      <c r="C55" s="123">
        <f>10000+70000</f>
        <v>80000</v>
      </c>
      <c r="D55" s="155"/>
      <c r="E55" s="123">
        <f t="shared" si="1"/>
        <v>215944</v>
      </c>
      <c r="F55" s="124">
        <f t="shared" si="2"/>
        <v>0.5091107553280133</v>
      </c>
    </row>
    <row r="56" spans="1:6" ht="12.75" customHeight="1">
      <c r="A56" s="1" t="s">
        <v>79</v>
      </c>
      <c r="B56" s="155">
        <v>100000</v>
      </c>
      <c r="C56" s="123">
        <f>10000+100000</f>
        <v>110000</v>
      </c>
      <c r="D56" s="155">
        <v>100000</v>
      </c>
      <c r="E56" s="123">
        <f t="shared" si="1"/>
        <v>310000</v>
      </c>
      <c r="F56" s="124">
        <f t="shared" si="2"/>
        <v>0.7308576952899091</v>
      </c>
    </row>
    <row r="57" spans="1:6" ht="12" customHeight="1">
      <c r="A57" s="1" t="s">
        <v>283</v>
      </c>
      <c r="B57" s="155">
        <v>50000</v>
      </c>
      <c r="C57" s="123">
        <v>50000</v>
      </c>
      <c r="D57" s="155"/>
      <c r="E57" s="123">
        <f t="shared" si="1"/>
        <v>100000</v>
      </c>
      <c r="F57" s="124">
        <f t="shared" si="2"/>
        <v>0.2357605468677126</v>
      </c>
    </row>
    <row r="58" spans="1:6" ht="12" customHeight="1">
      <c r="A58" s="1" t="s">
        <v>82</v>
      </c>
      <c r="B58" s="155"/>
      <c r="C58" s="123">
        <f>12000+80000</f>
        <v>92000</v>
      </c>
      <c r="D58" s="155"/>
      <c r="E58" s="123">
        <f t="shared" si="1"/>
        <v>92000</v>
      </c>
      <c r="F58" s="124">
        <f t="shared" si="2"/>
        <v>0.21689970311829562</v>
      </c>
    </row>
    <row r="59" spans="1:6" ht="12" customHeight="1">
      <c r="A59" s="1" t="s">
        <v>372</v>
      </c>
      <c r="B59" s="155">
        <v>240000</v>
      </c>
      <c r="C59" s="123">
        <f>50000+120000</f>
        <v>170000</v>
      </c>
      <c r="D59" s="155">
        <v>110264.85</v>
      </c>
      <c r="E59" s="123">
        <f t="shared" si="1"/>
        <v>520264.85</v>
      </c>
      <c r="F59" s="124">
        <f t="shared" si="2"/>
        <v>1.2265792555204846</v>
      </c>
    </row>
    <row r="60" spans="1:6" ht="12" customHeight="1">
      <c r="A60" s="1" t="s">
        <v>324</v>
      </c>
      <c r="B60" s="155">
        <f>58117.5+60000</f>
        <v>118117.5</v>
      </c>
      <c r="C60" s="123">
        <f>82000+60000</f>
        <v>142000</v>
      </c>
      <c r="D60" s="155">
        <f>69226.13+60000-2000</f>
        <v>127226.13</v>
      </c>
      <c r="E60" s="123">
        <f t="shared" si="1"/>
        <v>387343.63</v>
      </c>
      <c r="F60" s="124">
        <f t="shared" si="2"/>
        <v>0.9132034603452494</v>
      </c>
    </row>
    <row r="61" spans="1:6" ht="12" customHeight="1">
      <c r="A61" s="1" t="s">
        <v>325</v>
      </c>
      <c r="B61" s="155">
        <f>167937.78+100000</f>
        <v>267937.78</v>
      </c>
      <c r="C61" s="123">
        <f>45673.7+100000-5000</f>
        <v>140673.7</v>
      </c>
      <c r="D61" s="155">
        <v>100000</v>
      </c>
      <c r="E61" s="123">
        <f t="shared" si="1"/>
        <v>508611.48000000004</v>
      </c>
      <c r="F61" s="124">
        <f t="shared" si="2"/>
        <v>1.1991052066799668</v>
      </c>
    </row>
    <row r="62" spans="1:6" ht="12" customHeight="1">
      <c r="A62" s="1" t="s">
        <v>326</v>
      </c>
      <c r="B62" s="155">
        <v>135000</v>
      </c>
      <c r="C62" s="123">
        <v>248760</v>
      </c>
      <c r="D62" s="155">
        <v>135000</v>
      </c>
      <c r="E62" s="123">
        <f t="shared" si="1"/>
        <v>518760</v>
      </c>
      <c r="F62" s="124">
        <f t="shared" si="2"/>
        <v>1.223031412930946</v>
      </c>
    </row>
    <row r="63" spans="1:6" ht="12" customHeight="1">
      <c r="A63" s="1" t="s">
        <v>327</v>
      </c>
      <c r="B63" s="155">
        <f>32000+50000</f>
        <v>82000</v>
      </c>
      <c r="C63" s="123">
        <f>98696.2+50000</f>
        <v>148696.2</v>
      </c>
      <c r="D63" s="155">
        <f>8000+50000</f>
        <v>58000</v>
      </c>
      <c r="E63" s="123">
        <f t="shared" si="1"/>
        <v>288696.2</v>
      </c>
      <c r="F63" s="124">
        <f t="shared" si="2"/>
        <v>0.6806317399063053</v>
      </c>
    </row>
    <row r="64" spans="1:6" ht="12" customHeight="1">
      <c r="A64" s="1" t="s">
        <v>293</v>
      </c>
      <c r="B64" s="155">
        <v>100000</v>
      </c>
      <c r="C64" s="123">
        <f>52800+100000</f>
        <v>152800</v>
      </c>
      <c r="D64" s="155">
        <f>25320+100000</f>
        <v>125320</v>
      </c>
      <c r="E64" s="123">
        <f t="shared" si="1"/>
        <v>378120</v>
      </c>
      <c r="F64" s="124">
        <f t="shared" si="2"/>
        <v>0.891457779816195</v>
      </c>
    </row>
    <row r="65" spans="1:6" ht="12" customHeight="1">
      <c r="A65" s="1" t="s">
        <v>363</v>
      </c>
      <c r="B65" s="155">
        <f>20000+25000</f>
        <v>45000</v>
      </c>
      <c r="C65" s="123"/>
      <c r="D65" s="155">
        <v>25000</v>
      </c>
      <c r="E65" s="123">
        <f t="shared" si="1"/>
        <v>70000</v>
      </c>
      <c r="F65" s="124">
        <f t="shared" si="2"/>
        <v>0.16503238280739882</v>
      </c>
    </row>
    <row r="66" spans="1:6" ht="12" customHeight="1">
      <c r="A66" s="1" t="s">
        <v>528</v>
      </c>
      <c r="B66" s="155"/>
      <c r="C66" s="123">
        <f>10000+25000</f>
        <v>35000</v>
      </c>
      <c r="D66" s="155"/>
      <c r="E66" s="123">
        <f t="shared" si="1"/>
        <v>35000</v>
      </c>
      <c r="F66" s="124">
        <f>(E66/$E$113*100)</f>
        <v>0.08251619140369941</v>
      </c>
    </row>
    <row r="67" spans="1:6" ht="12" customHeight="1">
      <c r="A67" s="1" t="s">
        <v>308</v>
      </c>
      <c r="B67" s="155">
        <f>2000+45000</f>
        <v>47000</v>
      </c>
      <c r="C67" s="123"/>
      <c r="D67" s="155">
        <v>45000</v>
      </c>
      <c r="E67" s="123">
        <f t="shared" si="1"/>
        <v>92000</v>
      </c>
      <c r="F67" s="124">
        <f t="shared" si="2"/>
        <v>0.21689970311829562</v>
      </c>
    </row>
    <row r="68" spans="1:6" ht="12" customHeight="1">
      <c r="A68" s="1" t="s">
        <v>86</v>
      </c>
      <c r="B68" s="155">
        <f>10000+40000</f>
        <v>50000</v>
      </c>
      <c r="C68" s="123">
        <v>40000</v>
      </c>
      <c r="D68" s="155">
        <v>40000</v>
      </c>
      <c r="E68" s="123">
        <f t="shared" si="1"/>
        <v>130000</v>
      </c>
      <c r="F68" s="124">
        <f t="shared" si="2"/>
        <v>0.30648871092802643</v>
      </c>
    </row>
    <row r="69" spans="1:6" ht="12" customHeight="1">
      <c r="A69" s="1" t="s">
        <v>242</v>
      </c>
      <c r="B69" s="155">
        <f>30000+100000</f>
        <v>130000</v>
      </c>
      <c r="C69" s="123">
        <f>20000+100000</f>
        <v>120000</v>
      </c>
      <c r="D69" s="155">
        <v>100000</v>
      </c>
      <c r="E69" s="123">
        <f t="shared" si="1"/>
        <v>350000</v>
      </c>
      <c r="F69" s="124">
        <f t="shared" si="2"/>
        <v>0.8251619140369941</v>
      </c>
    </row>
    <row r="70" spans="1:6" ht="12" customHeight="1">
      <c r="A70" s="1" t="s">
        <v>87</v>
      </c>
      <c r="B70" s="155">
        <v>50000</v>
      </c>
      <c r="C70" s="123">
        <f>59600+50000</f>
        <v>109600</v>
      </c>
      <c r="D70" s="155">
        <v>50000</v>
      </c>
      <c r="E70" s="123">
        <f t="shared" si="1"/>
        <v>209600</v>
      </c>
      <c r="F70" s="124">
        <f t="shared" si="2"/>
        <v>0.49415410623472567</v>
      </c>
    </row>
    <row r="71" spans="1:6" ht="12" customHeight="1">
      <c r="A71" s="1" t="s">
        <v>83</v>
      </c>
      <c r="B71" s="155">
        <f>50000+80000</f>
        <v>130000</v>
      </c>
      <c r="C71" s="123">
        <f>50000+80000-20000</f>
        <v>110000</v>
      </c>
      <c r="D71" s="155">
        <v>80000</v>
      </c>
      <c r="E71" s="123">
        <f t="shared" si="1"/>
        <v>320000</v>
      </c>
      <c r="F71" s="124">
        <f t="shared" si="2"/>
        <v>0.7544337499766803</v>
      </c>
    </row>
    <row r="72" spans="1:6" ht="12" customHeight="1">
      <c r="A72" s="1" t="s">
        <v>123</v>
      </c>
      <c r="B72" s="155">
        <v>25000</v>
      </c>
      <c r="C72" s="155">
        <v>12500</v>
      </c>
      <c r="D72" s="155">
        <v>25000</v>
      </c>
      <c r="E72" s="123">
        <f t="shared" si="1"/>
        <v>62500</v>
      </c>
      <c r="F72" s="124">
        <f t="shared" si="2"/>
        <v>0.14735034179232037</v>
      </c>
    </row>
    <row r="73" spans="1:6" ht="12" customHeight="1">
      <c r="A73" s="1" t="s">
        <v>124</v>
      </c>
      <c r="B73" s="155">
        <f>8877+80000</f>
        <v>88877</v>
      </c>
      <c r="C73" s="155">
        <f>25000+40000</f>
        <v>65000</v>
      </c>
      <c r="D73" s="155">
        <v>80000</v>
      </c>
      <c r="E73" s="123">
        <f t="shared" si="1"/>
        <v>233877</v>
      </c>
      <c r="F73" s="124">
        <f aca="true" t="shared" si="3" ref="F73:F111">(E73/$E$113*100)</f>
        <v>0.5513896941978003</v>
      </c>
    </row>
    <row r="74" spans="1:6" ht="12" customHeight="1">
      <c r="A74" s="1" t="s">
        <v>111</v>
      </c>
      <c r="B74" s="155">
        <v>40000</v>
      </c>
      <c r="C74" s="155">
        <f>12000+40000</f>
        <v>52000</v>
      </c>
      <c r="D74" s="155"/>
      <c r="E74" s="123">
        <f t="shared" si="1"/>
        <v>92000</v>
      </c>
      <c r="F74" s="124">
        <f t="shared" si="3"/>
        <v>0.21689970311829562</v>
      </c>
    </row>
    <row r="75" spans="1:6" ht="12" customHeight="1">
      <c r="A75" s="1" t="s">
        <v>184</v>
      </c>
      <c r="B75" s="155">
        <v>105000</v>
      </c>
      <c r="C75" s="155">
        <f>10000+35000</f>
        <v>45000</v>
      </c>
      <c r="D75" s="155"/>
      <c r="E75" s="123">
        <f t="shared" si="1"/>
        <v>150000</v>
      </c>
      <c r="F75" s="124">
        <f t="shared" si="3"/>
        <v>0.35364082030156896</v>
      </c>
    </row>
    <row r="76" spans="1:6" ht="12" customHeight="1">
      <c r="A76" s="1" t="s">
        <v>410</v>
      </c>
      <c r="B76" s="155">
        <f>8560+25000</f>
        <v>33560</v>
      </c>
      <c r="C76" s="155">
        <f>14280.44+25000</f>
        <v>39280.44</v>
      </c>
      <c r="D76" s="155">
        <v>25000</v>
      </c>
      <c r="E76" s="123">
        <f t="shared" si="1"/>
        <v>97840.44</v>
      </c>
      <c r="F76" s="124">
        <f t="shared" si="3"/>
        <v>0.23066915640177627</v>
      </c>
    </row>
    <row r="77" spans="1:6" ht="12" customHeight="1">
      <c r="A77" s="1" t="s">
        <v>84</v>
      </c>
      <c r="B77" s="155">
        <f>20000+30000</f>
        <v>50000</v>
      </c>
      <c r="C77" s="155">
        <f>40000+30000</f>
        <v>70000</v>
      </c>
      <c r="D77" s="155"/>
      <c r="E77" s="123">
        <f aca="true" t="shared" si="4" ref="E77:E111">SUM(B77:D77)</f>
        <v>120000</v>
      </c>
      <c r="F77" s="124">
        <f t="shared" si="3"/>
        <v>0.2829126562412551</v>
      </c>
    </row>
    <row r="78" spans="1:6" ht="12" customHeight="1">
      <c r="A78" s="1" t="s">
        <v>390</v>
      </c>
      <c r="B78" s="155">
        <v>200000</v>
      </c>
      <c r="C78" s="155">
        <f>50000-15000+200000</f>
        <v>235000</v>
      </c>
      <c r="D78" s="155"/>
      <c r="E78" s="123">
        <f t="shared" si="4"/>
        <v>435000</v>
      </c>
      <c r="F78" s="124">
        <f t="shared" si="3"/>
        <v>1.0255583788745497</v>
      </c>
    </row>
    <row r="79" spans="1:6" ht="12" customHeight="1">
      <c r="A79" s="1" t="s">
        <v>88</v>
      </c>
      <c r="B79" s="155">
        <f>15000+100000</f>
        <v>115000</v>
      </c>
      <c r="C79" s="155">
        <v>100000</v>
      </c>
      <c r="D79" s="155"/>
      <c r="E79" s="123">
        <f t="shared" si="4"/>
        <v>215000</v>
      </c>
      <c r="F79" s="124">
        <f t="shared" si="3"/>
        <v>0.5068851757655821</v>
      </c>
    </row>
    <row r="80" spans="1:6" ht="12" customHeight="1">
      <c r="A80" s="1" t="s">
        <v>439</v>
      </c>
      <c r="B80" s="155">
        <f>30000+60000</f>
        <v>90000</v>
      </c>
      <c r="C80" s="155">
        <f>55000+60000</f>
        <v>115000</v>
      </c>
      <c r="D80" s="155">
        <v>70000</v>
      </c>
      <c r="E80" s="123">
        <f t="shared" si="4"/>
        <v>275000</v>
      </c>
      <c r="F80" s="124">
        <f t="shared" si="3"/>
        <v>0.6483415038862097</v>
      </c>
    </row>
    <row r="81" spans="1:6" ht="12" customHeight="1">
      <c r="A81" s="1" t="s">
        <v>343</v>
      </c>
      <c r="B81" s="155">
        <v>50000</v>
      </c>
      <c r="C81" s="155">
        <v>50000</v>
      </c>
      <c r="D81" s="155"/>
      <c r="E81" s="123">
        <f t="shared" si="4"/>
        <v>100000</v>
      </c>
      <c r="F81" s="124">
        <f t="shared" si="3"/>
        <v>0.2357605468677126</v>
      </c>
    </row>
    <row r="82" spans="1:6" ht="12" customHeight="1">
      <c r="A82" s="1" t="s">
        <v>89</v>
      </c>
      <c r="B82" s="155">
        <v>30000</v>
      </c>
      <c r="C82" s="155">
        <f>15000+30000</f>
        <v>45000</v>
      </c>
      <c r="D82" s="155">
        <v>30000</v>
      </c>
      <c r="E82" s="123">
        <f t="shared" si="4"/>
        <v>105000</v>
      </c>
      <c r="F82" s="124">
        <f t="shared" si="3"/>
        <v>0.24754857421109824</v>
      </c>
    </row>
    <row r="83" spans="1:6" ht="12" customHeight="1">
      <c r="A83" s="1" t="s">
        <v>391</v>
      </c>
      <c r="B83" s="155">
        <v>50000</v>
      </c>
      <c r="C83" s="155">
        <f>10000+50000</f>
        <v>60000</v>
      </c>
      <c r="D83" s="155">
        <v>50000</v>
      </c>
      <c r="E83" s="123">
        <f t="shared" si="4"/>
        <v>160000</v>
      </c>
      <c r="F83" s="124">
        <f t="shared" si="3"/>
        <v>0.37721687498834017</v>
      </c>
    </row>
    <row r="84" spans="1:6" ht="12" customHeight="1">
      <c r="A84" s="1" t="s">
        <v>334</v>
      </c>
      <c r="B84" s="155">
        <v>30000</v>
      </c>
      <c r="C84" s="155"/>
      <c r="D84" s="155"/>
      <c r="E84" s="123">
        <f t="shared" si="4"/>
        <v>30000</v>
      </c>
      <c r="F84" s="124">
        <f t="shared" si="3"/>
        <v>0.07072816406031378</v>
      </c>
    </row>
    <row r="85" spans="1:6" ht="12" customHeight="1">
      <c r="A85" s="1" t="s">
        <v>90</v>
      </c>
      <c r="B85" s="155">
        <v>30000</v>
      </c>
      <c r="C85" s="155">
        <v>30000</v>
      </c>
      <c r="D85" s="155">
        <v>30000</v>
      </c>
      <c r="E85" s="123">
        <f t="shared" si="4"/>
        <v>90000</v>
      </c>
      <c r="F85" s="124">
        <f t="shared" si="3"/>
        <v>0.21218449218094135</v>
      </c>
    </row>
    <row r="86" spans="1:6" ht="12" customHeight="1">
      <c r="A86" s="1" t="s">
        <v>125</v>
      </c>
      <c r="B86" s="155">
        <v>60000</v>
      </c>
      <c r="C86" s="155"/>
      <c r="D86" s="155"/>
      <c r="E86" s="123">
        <f t="shared" si="4"/>
        <v>60000</v>
      </c>
      <c r="F86" s="124">
        <f t="shared" si="3"/>
        <v>0.14145632812062756</v>
      </c>
    </row>
    <row r="87" spans="1:6" ht="12" customHeight="1">
      <c r="A87" s="1" t="s">
        <v>91</v>
      </c>
      <c r="B87" s="155">
        <f>20000+70000</f>
        <v>90000</v>
      </c>
      <c r="C87" s="155">
        <f>15000+70000</f>
        <v>85000</v>
      </c>
      <c r="D87" s="155">
        <f>20000+70000</f>
        <v>90000</v>
      </c>
      <c r="E87" s="123">
        <f t="shared" si="4"/>
        <v>265000</v>
      </c>
      <c r="F87" s="124">
        <f t="shared" si="3"/>
        <v>0.6247654491994384</v>
      </c>
    </row>
    <row r="88" spans="1:6" ht="12" customHeight="1">
      <c r="A88" s="1" t="s">
        <v>126</v>
      </c>
      <c r="B88" s="155">
        <v>50000</v>
      </c>
      <c r="C88" s="155">
        <v>50000</v>
      </c>
      <c r="D88" s="155">
        <f>10800+50000</f>
        <v>60800</v>
      </c>
      <c r="E88" s="123">
        <f t="shared" si="4"/>
        <v>160800</v>
      </c>
      <c r="F88" s="124">
        <f t="shared" si="3"/>
        <v>0.37910295936328187</v>
      </c>
    </row>
    <row r="89" spans="1:6" ht="12" customHeight="1">
      <c r="A89" s="1" t="s">
        <v>187</v>
      </c>
      <c r="B89" s="155">
        <v>30000</v>
      </c>
      <c r="C89" s="155">
        <f>17060.88+30000</f>
        <v>47060.880000000005</v>
      </c>
      <c r="D89" s="155">
        <v>30000</v>
      </c>
      <c r="E89" s="123">
        <f t="shared" si="4"/>
        <v>107060.88</v>
      </c>
      <c r="F89" s="124">
        <f t="shared" si="3"/>
        <v>0.25240731616938555</v>
      </c>
    </row>
    <row r="90" spans="1:6" ht="12" customHeight="1">
      <c r="A90" s="7" t="s">
        <v>519</v>
      </c>
      <c r="B90" s="155">
        <v>40000</v>
      </c>
      <c r="C90" s="155"/>
      <c r="D90" s="155">
        <v>20000</v>
      </c>
      <c r="E90" s="123">
        <f t="shared" si="4"/>
        <v>60000</v>
      </c>
      <c r="F90" s="124">
        <f t="shared" si="3"/>
        <v>0.14145632812062756</v>
      </c>
    </row>
    <row r="91" spans="1:6" ht="12" customHeight="1">
      <c r="A91" s="1" t="s">
        <v>92</v>
      </c>
      <c r="B91" s="155">
        <v>20000</v>
      </c>
      <c r="C91" s="155">
        <v>10000</v>
      </c>
      <c r="D91" s="155">
        <v>40000</v>
      </c>
      <c r="E91" s="123">
        <f t="shared" si="4"/>
        <v>70000</v>
      </c>
      <c r="F91" s="124">
        <f t="shared" si="3"/>
        <v>0.16503238280739882</v>
      </c>
    </row>
    <row r="92" spans="1:6" ht="12" customHeight="1">
      <c r="A92" s="1" t="s">
        <v>250</v>
      </c>
      <c r="B92" s="155">
        <v>90000</v>
      </c>
      <c r="C92" s="155">
        <v>90000</v>
      </c>
      <c r="D92" s="155">
        <v>180000</v>
      </c>
      <c r="E92" s="123">
        <f t="shared" si="4"/>
        <v>360000</v>
      </c>
      <c r="F92" s="124">
        <f t="shared" si="3"/>
        <v>0.8487379687237654</v>
      </c>
    </row>
    <row r="93" spans="1:6" ht="12" customHeight="1">
      <c r="A93" s="1" t="s">
        <v>144</v>
      </c>
      <c r="B93" s="155">
        <f>73000+150000</f>
        <v>223000</v>
      </c>
      <c r="C93" s="155">
        <f>33000+150000</f>
        <v>183000</v>
      </c>
      <c r="D93" s="155">
        <v>150000</v>
      </c>
      <c r="E93" s="123">
        <f t="shared" si="4"/>
        <v>556000</v>
      </c>
      <c r="F93" s="124">
        <f t="shared" si="3"/>
        <v>1.3108286405844822</v>
      </c>
    </row>
    <row r="94" spans="1:6" ht="12" customHeight="1">
      <c r="A94" s="1" t="s">
        <v>294</v>
      </c>
      <c r="B94" s="155">
        <f>10000+25000</f>
        <v>35000</v>
      </c>
      <c r="C94" s="155">
        <v>25000</v>
      </c>
      <c r="D94" s="155">
        <v>25000</v>
      </c>
      <c r="E94" s="123">
        <f t="shared" si="4"/>
        <v>85000</v>
      </c>
      <c r="F94" s="124">
        <f t="shared" si="3"/>
        <v>0.20039646483755572</v>
      </c>
    </row>
    <row r="95" spans="1:6" ht="12" customHeight="1">
      <c r="A95" s="1" t="s">
        <v>189</v>
      </c>
      <c r="B95" s="155">
        <f>20000+15000</f>
        <v>35000</v>
      </c>
      <c r="C95" s="155">
        <f>10000+15000</f>
        <v>25000</v>
      </c>
      <c r="D95" s="155">
        <v>15000</v>
      </c>
      <c r="E95" s="123">
        <f t="shared" si="4"/>
        <v>75000</v>
      </c>
      <c r="F95" s="124">
        <f t="shared" si="3"/>
        <v>0.17682041015078448</v>
      </c>
    </row>
    <row r="96" spans="1:7" ht="12.75" customHeight="1">
      <c r="A96" s="1" t="s">
        <v>145</v>
      </c>
      <c r="B96" s="155">
        <v>30000</v>
      </c>
      <c r="C96" s="155">
        <v>30000</v>
      </c>
      <c r="D96" s="155"/>
      <c r="E96" s="123">
        <f t="shared" si="4"/>
        <v>60000</v>
      </c>
      <c r="F96" s="124">
        <f t="shared" si="3"/>
        <v>0.14145632812062756</v>
      </c>
      <c r="G96" s="88"/>
    </row>
    <row r="97" spans="1:7" ht="12.75" customHeight="1">
      <c r="A97" s="1" t="s">
        <v>454</v>
      </c>
      <c r="B97" s="155">
        <v>30000</v>
      </c>
      <c r="C97" s="155">
        <f>15000+30000</f>
        <v>45000</v>
      </c>
      <c r="D97" s="155"/>
      <c r="E97" s="123">
        <f t="shared" si="4"/>
        <v>75000</v>
      </c>
      <c r="F97" s="124">
        <f t="shared" si="3"/>
        <v>0.17682041015078448</v>
      </c>
      <c r="G97" s="88"/>
    </row>
    <row r="98" spans="1:7" ht="12.75" customHeight="1">
      <c r="A98" s="1" t="s">
        <v>172</v>
      </c>
      <c r="B98" s="155">
        <f>20000+50000</f>
        <v>70000</v>
      </c>
      <c r="C98" s="155">
        <f>78800+25000</f>
        <v>103800</v>
      </c>
      <c r="D98" s="155">
        <v>50000</v>
      </c>
      <c r="E98" s="123">
        <f t="shared" si="4"/>
        <v>223800</v>
      </c>
      <c r="F98" s="124">
        <f t="shared" si="3"/>
        <v>0.5276321038899409</v>
      </c>
      <c r="G98" s="88"/>
    </row>
    <row r="99" spans="1:7" ht="12.75" customHeight="1">
      <c r="A99" s="1" t="s">
        <v>208</v>
      </c>
      <c r="B99" s="155">
        <f>60000+45000</f>
        <v>105000</v>
      </c>
      <c r="C99" s="155">
        <v>60000</v>
      </c>
      <c r="D99" s="155">
        <v>60000</v>
      </c>
      <c r="E99" s="123">
        <f t="shared" si="4"/>
        <v>225000</v>
      </c>
      <c r="F99" s="124">
        <f t="shared" si="3"/>
        <v>0.5304612304523534</v>
      </c>
      <c r="G99" s="88"/>
    </row>
    <row r="100" spans="1:7" ht="12.75" customHeight="1">
      <c r="A100" s="1" t="s">
        <v>345</v>
      </c>
      <c r="B100" s="155"/>
      <c r="C100" s="155">
        <v>50000</v>
      </c>
      <c r="D100" s="155">
        <v>50000</v>
      </c>
      <c r="E100" s="123">
        <f t="shared" si="4"/>
        <v>100000</v>
      </c>
      <c r="F100" s="124">
        <f t="shared" si="3"/>
        <v>0.2357605468677126</v>
      </c>
      <c r="G100" s="88"/>
    </row>
    <row r="101" spans="1:7" ht="12.75" customHeight="1">
      <c r="A101" s="1" t="s">
        <v>146</v>
      </c>
      <c r="B101" s="155">
        <v>55000</v>
      </c>
      <c r="C101" s="155">
        <f>10000+55000</f>
        <v>65000</v>
      </c>
      <c r="D101" s="155">
        <v>45000</v>
      </c>
      <c r="E101" s="123">
        <f t="shared" si="4"/>
        <v>165000</v>
      </c>
      <c r="F101" s="124">
        <f t="shared" si="3"/>
        <v>0.38900490233172585</v>
      </c>
      <c r="G101" s="88"/>
    </row>
    <row r="102" spans="1:7" ht="12.75" customHeight="1">
      <c r="A102" s="1" t="s">
        <v>105</v>
      </c>
      <c r="B102" s="155">
        <v>30000</v>
      </c>
      <c r="C102" s="155">
        <f>5000+30000-7851.39</f>
        <v>27148.61</v>
      </c>
      <c r="D102" s="155">
        <v>30000</v>
      </c>
      <c r="E102" s="123">
        <f t="shared" si="4"/>
        <v>87148.61</v>
      </c>
      <c r="F102" s="124">
        <f t="shared" si="3"/>
        <v>0.20546203952361008</v>
      </c>
      <c r="G102" s="88"/>
    </row>
    <row r="103" spans="1:7" ht="12.75" customHeight="1">
      <c r="A103" s="1" t="s">
        <v>93</v>
      </c>
      <c r="B103" s="155">
        <v>110000</v>
      </c>
      <c r="C103" s="155">
        <f>25000+110000</f>
        <v>135000</v>
      </c>
      <c r="D103" s="155">
        <v>110000</v>
      </c>
      <c r="E103" s="123">
        <f t="shared" si="4"/>
        <v>355000</v>
      </c>
      <c r="F103" s="124">
        <f t="shared" si="3"/>
        <v>0.8369499413803797</v>
      </c>
      <c r="G103" s="88"/>
    </row>
    <row r="104" spans="1:7" ht="12.75" customHeight="1">
      <c r="A104" s="7" t="s">
        <v>185</v>
      </c>
      <c r="B104" s="155">
        <f>884106+120000-8629-2671-538.41-825</f>
        <v>991442.59</v>
      </c>
      <c r="C104" s="155">
        <f>695710+120000-13000-10000-1407-3600-1065.4</f>
        <v>786637.6</v>
      </c>
      <c r="D104" s="155">
        <v>73000</v>
      </c>
      <c r="E104" s="123">
        <f t="shared" si="4"/>
        <v>1851080.19</v>
      </c>
      <c r="F104" s="124">
        <f t="shared" si="3"/>
        <v>4.3641167789038935</v>
      </c>
      <c r="G104" s="88"/>
    </row>
    <row r="105" spans="1:7" ht="12.75" customHeight="1">
      <c r="A105" s="1" t="s">
        <v>337</v>
      </c>
      <c r="B105" s="155">
        <v>30000</v>
      </c>
      <c r="C105" s="155">
        <v>20000</v>
      </c>
      <c r="D105" s="155"/>
      <c r="E105" s="123">
        <f t="shared" si="4"/>
        <v>50000</v>
      </c>
      <c r="F105" s="124">
        <f t="shared" si="3"/>
        <v>0.1178802734338563</v>
      </c>
      <c r="G105" s="88"/>
    </row>
    <row r="106" spans="1:7" ht="12" customHeight="1">
      <c r="A106" s="1" t="s">
        <v>212</v>
      </c>
      <c r="B106" s="155">
        <v>80000</v>
      </c>
      <c r="C106" s="155">
        <v>40000</v>
      </c>
      <c r="D106" s="155"/>
      <c r="E106" s="123">
        <f t="shared" si="4"/>
        <v>120000</v>
      </c>
      <c r="F106" s="124">
        <f t="shared" si="3"/>
        <v>0.2829126562412551</v>
      </c>
      <c r="G106" s="88"/>
    </row>
    <row r="107" spans="1:7" ht="12" customHeight="1">
      <c r="A107" s="1" t="s">
        <v>275</v>
      </c>
      <c r="B107" s="155">
        <v>50000</v>
      </c>
      <c r="C107" s="155"/>
      <c r="D107" s="155">
        <v>25000</v>
      </c>
      <c r="E107" s="123">
        <f t="shared" si="4"/>
        <v>75000</v>
      </c>
      <c r="F107" s="124">
        <f t="shared" si="3"/>
        <v>0.17682041015078448</v>
      </c>
      <c r="G107" s="88"/>
    </row>
    <row r="108" spans="1:7" ht="12" customHeight="1">
      <c r="A108" s="1" t="s">
        <v>209</v>
      </c>
      <c r="B108" s="155">
        <f>173665.6+100000</f>
        <v>273665.6</v>
      </c>
      <c r="C108" s="155">
        <f>66950+100000-600-600</f>
        <v>165750</v>
      </c>
      <c r="D108" s="155">
        <f>43800+100000</f>
        <v>143800</v>
      </c>
      <c r="E108" s="123">
        <f t="shared" si="4"/>
        <v>583215.6</v>
      </c>
      <c r="F108" s="124">
        <f t="shared" si="3"/>
        <v>1.3749922879778114</v>
      </c>
      <c r="G108" s="88"/>
    </row>
    <row r="109" spans="1:7" ht="12" customHeight="1">
      <c r="A109" s="1" t="s">
        <v>210</v>
      </c>
      <c r="B109" s="155">
        <f>33860+70000</f>
        <v>103860</v>
      </c>
      <c r="C109" s="155">
        <f>9120+90000</f>
        <v>99120</v>
      </c>
      <c r="D109" s="155">
        <v>70000</v>
      </c>
      <c r="E109" s="123">
        <f t="shared" si="4"/>
        <v>272980</v>
      </c>
      <c r="F109" s="124">
        <f t="shared" si="3"/>
        <v>0.6435791408394819</v>
      </c>
      <c r="G109" s="88"/>
    </row>
    <row r="110" spans="1:7" ht="12" customHeight="1">
      <c r="A110" s="1" t="s">
        <v>251</v>
      </c>
      <c r="B110" s="155">
        <v>90000</v>
      </c>
      <c r="C110" s="155">
        <f>96762.8+90000</f>
        <v>186762.8</v>
      </c>
      <c r="D110" s="155"/>
      <c r="E110" s="123">
        <f t="shared" si="4"/>
        <v>276762.8</v>
      </c>
      <c r="F110" s="124">
        <f t="shared" si="3"/>
        <v>0.6524974908063936</v>
      </c>
      <c r="G110" s="88"/>
    </row>
    <row r="111" spans="1:7" ht="12" customHeight="1">
      <c r="A111" s="1" t="s">
        <v>211</v>
      </c>
      <c r="B111" s="155">
        <f>302230.4+100000</f>
        <v>402230.4</v>
      </c>
      <c r="C111" s="155">
        <f>191604+200000-400</f>
        <v>391204</v>
      </c>
      <c r="D111" s="155">
        <f>100000-1500</f>
        <v>98500</v>
      </c>
      <c r="E111" s="123">
        <f t="shared" si="4"/>
        <v>891934.4</v>
      </c>
      <c r="F111" s="119">
        <f t="shared" si="3"/>
        <v>2.1028294191412513</v>
      </c>
      <c r="G111" s="88"/>
    </row>
    <row r="112" spans="2:7" ht="9" customHeight="1">
      <c r="B112" s="155"/>
      <c r="C112" s="155"/>
      <c r="D112" s="287"/>
      <c r="E112" s="123"/>
      <c r="F112" s="119"/>
      <c r="G112" s="88"/>
    </row>
    <row r="113" spans="1:7" ht="12" customHeight="1" thickBot="1">
      <c r="A113" s="4" t="s">
        <v>157</v>
      </c>
      <c r="B113" s="139">
        <f>SUM(B9:B112)</f>
        <v>15776981.389999999</v>
      </c>
      <c r="C113" s="139">
        <f>SUM(C9:C112)</f>
        <v>17406539.3</v>
      </c>
      <c r="D113" s="139">
        <f>SUM(D9:D112)</f>
        <v>9232397.21</v>
      </c>
      <c r="E113" s="139">
        <f>SUM(E9:E112)</f>
        <v>42415917.9</v>
      </c>
      <c r="F113" s="139">
        <f>SUM(F9:F112)</f>
        <v>99.99999999999994</v>
      </c>
      <c r="G113" s="88"/>
    </row>
    <row r="114" spans="2:7" ht="12" customHeight="1" thickTop="1">
      <c r="B114" s="88"/>
      <c r="C114" s="88"/>
      <c r="D114" s="88"/>
      <c r="E114" s="88"/>
      <c r="F114" s="88"/>
      <c r="G114" s="88"/>
    </row>
    <row r="115" spans="2:7" ht="12.75">
      <c r="B115" s="129"/>
      <c r="C115" s="129"/>
      <c r="D115" s="88"/>
      <c r="E115" s="98"/>
      <c r="F115" s="88"/>
      <c r="G115" s="88"/>
    </row>
    <row r="116" spans="2:7" ht="12.75">
      <c r="B116" s="129"/>
      <c r="C116" s="129"/>
      <c r="D116" s="155"/>
      <c r="E116" s="88"/>
      <c r="F116" s="88"/>
      <c r="G116" s="88"/>
    </row>
    <row r="117" spans="2:3" ht="12.75">
      <c r="B117" s="36"/>
      <c r="C117" s="36"/>
    </row>
  </sheetData>
  <sheetProtection/>
  <mergeCells count="5">
    <mergeCell ref="A5:F5"/>
    <mergeCell ref="E1:F1"/>
    <mergeCell ref="A2:F2"/>
    <mergeCell ref="A3:F3"/>
    <mergeCell ref="A4:F4"/>
  </mergeCells>
  <printOptions/>
  <pageMargins left="0.8267716535433072" right="0.5511811023622047" top="0.7874015748031497" bottom="0.7480314960629921" header="0" footer="0.3937007874015748"/>
  <pageSetup horizontalDpi="600" verticalDpi="600" orientation="portrait" scale="95" r:id="rId1"/>
  <headerFooter alignWithMargins="0">
    <oddFooter>&amp;R&amp;P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9"/>
  <sheetViews>
    <sheetView zoomScale="125" zoomScaleNormal="125" zoomScalePageLayoutView="0" workbookViewId="0" topLeftCell="A1">
      <selection activeCell="A24" sqref="A24"/>
    </sheetView>
  </sheetViews>
  <sheetFormatPr defaultColWidth="11.421875" defaultRowHeight="12.75"/>
  <cols>
    <col min="1" max="1" width="41.8515625" style="1" customWidth="1"/>
    <col min="2" max="5" width="11.28125" style="22" customWidth="1"/>
    <col min="6" max="6" width="6.57421875" style="1" customWidth="1"/>
    <col min="7" max="7" width="2.57421875" style="1" customWidth="1"/>
    <col min="8" max="16384" width="11.421875" style="1" customWidth="1"/>
  </cols>
  <sheetData>
    <row r="1" spans="1:6" s="205" customFormat="1" ht="12.75">
      <c r="A1" s="202"/>
      <c r="B1" s="203"/>
      <c r="C1" s="203"/>
      <c r="D1" s="203"/>
      <c r="E1" s="352" t="s">
        <v>117</v>
      </c>
      <c r="F1" s="352"/>
    </row>
    <row r="2" spans="1:6" s="205" customFormat="1" ht="12.75">
      <c r="A2" s="351" t="s">
        <v>260</v>
      </c>
      <c r="B2" s="351"/>
      <c r="C2" s="351"/>
      <c r="D2" s="351"/>
      <c r="E2" s="351"/>
      <c r="F2" s="351"/>
    </row>
    <row r="3" spans="1:6" s="205" customFormat="1" ht="12.75">
      <c r="A3" s="353" t="s">
        <v>359</v>
      </c>
      <c r="B3" s="353"/>
      <c r="C3" s="353"/>
      <c r="D3" s="353"/>
      <c r="E3" s="353"/>
      <c r="F3" s="353"/>
    </row>
    <row r="4" spans="1:6" s="205" customFormat="1" ht="12.75">
      <c r="A4" s="351" t="s">
        <v>273</v>
      </c>
      <c r="B4" s="351"/>
      <c r="C4" s="351"/>
      <c r="D4" s="351"/>
      <c r="E4" s="351"/>
      <c r="F4" s="351"/>
    </row>
    <row r="5" spans="1:7" s="212" customFormat="1" ht="12.75">
      <c r="A5" s="351" t="s">
        <v>508</v>
      </c>
      <c r="B5" s="351"/>
      <c r="C5" s="351"/>
      <c r="D5" s="351"/>
      <c r="E5" s="351"/>
      <c r="F5" s="351"/>
      <c r="G5" s="211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1:6" ht="9" customHeight="1">
      <c r="A8" s="2"/>
      <c r="B8" s="23"/>
      <c r="C8" s="23"/>
      <c r="D8" s="23"/>
      <c r="E8" s="23"/>
      <c r="F8" s="65"/>
    </row>
    <row r="9" spans="1:6" ht="12.75">
      <c r="A9" s="6" t="s">
        <v>137</v>
      </c>
      <c r="B9" s="155">
        <v>2296000</v>
      </c>
      <c r="C9" s="155"/>
      <c r="D9" s="155"/>
      <c r="E9" s="123">
        <f aca="true" t="shared" si="0" ref="E9:E21">SUM(B9:D9)</f>
        <v>2296000</v>
      </c>
      <c r="F9" s="124">
        <f aca="true" t="shared" si="1" ref="F9:F21">(E9/$E$23*100)</f>
        <v>36.745016580356534</v>
      </c>
    </row>
    <row r="10" spans="1:6" ht="12.75">
      <c r="A10" s="6" t="s">
        <v>71</v>
      </c>
      <c r="B10" s="155"/>
      <c r="C10" s="155">
        <v>27948.8</v>
      </c>
      <c r="D10" s="155"/>
      <c r="E10" s="123">
        <f t="shared" si="0"/>
        <v>27948.8</v>
      </c>
      <c r="F10" s="124">
        <f t="shared" si="1"/>
        <v>0.44729055723043054</v>
      </c>
    </row>
    <row r="11" spans="1:6" ht="12.75">
      <c r="A11" s="1" t="s">
        <v>421</v>
      </c>
      <c r="B11" s="155">
        <v>924380.62</v>
      </c>
      <c r="C11" s="155">
        <v>778458.94</v>
      </c>
      <c r="D11" s="155"/>
      <c r="E11" s="123">
        <f t="shared" si="0"/>
        <v>1702839.56</v>
      </c>
      <c r="F11" s="124">
        <f t="shared" si="1"/>
        <v>27.252120150647656</v>
      </c>
    </row>
    <row r="12" spans="1:6" ht="12.75">
      <c r="A12" s="41" t="s">
        <v>484</v>
      </c>
      <c r="B12" s="155">
        <v>300000</v>
      </c>
      <c r="C12" s="155">
        <v>200000</v>
      </c>
      <c r="D12" s="155"/>
      <c r="E12" s="123">
        <f t="shared" si="0"/>
        <v>500000</v>
      </c>
      <c r="F12" s="124">
        <f t="shared" si="1"/>
        <v>8.001963541018409</v>
      </c>
    </row>
    <row r="13" spans="1:6" ht="12.75">
      <c r="A13" s="1" t="s">
        <v>139</v>
      </c>
      <c r="B13" s="155">
        <v>1982.76</v>
      </c>
      <c r="C13" s="155"/>
      <c r="D13" s="155"/>
      <c r="E13" s="123">
        <f t="shared" si="0"/>
        <v>1982.76</v>
      </c>
      <c r="F13" s="124">
        <f t="shared" si="1"/>
        <v>0.03173194646117932</v>
      </c>
    </row>
    <row r="14" spans="1:6" ht="12.75">
      <c r="A14" s="1" t="s">
        <v>353</v>
      </c>
      <c r="B14" s="148"/>
      <c r="C14" s="123">
        <v>132000</v>
      </c>
      <c r="D14" s="148"/>
      <c r="E14" s="123">
        <f t="shared" si="0"/>
        <v>132000</v>
      </c>
      <c r="F14" s="124">
        <f t="shared" si="1"/>
        <v>2.1125183748288596</v>
      </c>
    </row>
    <row r="15" spans="1:6" ht="12.75">
      <c r="A15" s="1" t="s">
        <v>76</v>
      </c>
      <c r="B15" s="148">
        <v>12000</v>
      </c>
      <c r="C15" s="123">
        <v>6000</v>
      </c>
      <c r="D15" s="148"/>
      <c r="E15" s="123">
        <f t="shared" si="0"/>
        <v>18000</v>
      </c>
      <c r="F15" s="124">
        <f t="shared" si="1"/>
        <v>0.2880706874766627</v>
      </c>
    </row>
    <row r="16" spans="1:6" ht="12.75">
      <c r="A16" s="7" t="s">
        <v>486</v>
      </c>
      <c r="B16" s="148">
        <v>346613.79</v>
      </c>
      <c r="C16" s="123"/>
      <c r="D16" s="148"/>
      <c r="E16" s="123">
        <f t="shared" si="0"/>
        <v>346613.79</v>
      </c>
      <c r="F16" s="124">
        <f t="shared" si="1"/>
        <v>5.547181820788421</v>
      </c>
    </row>
    <row r="17" spans="1:6" ht="12.75">
      <c r="A17" s="1" t="s">
        <v>206</v>
      </c>
      <c r="B17" s="148"/>
      <c r="C17" s="123">
        <v>1057500</v>
      </c>
      <c r="D17" s="148"/>
      <c r="E17" s="123">
        <f t="shared" si="0"/>
        <v>1057500</v>
      </c>
      <c r="F17" s="124">
        <f t="shared" si="1"/>
        <v>16.924152889253936</v>
      </c>
    </row>
    <row r="18" spans="1:6" ht="12.75">
      <c r="A18" s="1" t="s">
        <v>171</v>
      </c>
      <c r="B18" s="148"/>
      <c r="C18" s="123">
        <v>59084.9</v>
      </c>
      <c r="D18" s="148"/>
      <c r="E18" s="123">
        <f t="shared" si="0"/>
        <v>59084.9</v>
      </c>
      <c r="F18" s="124">
        <f t="shared" si="1"/>
        <v>0.9455904312494372</v>
      </c>
    </row>
    <row r="19" spans="1:6" ht="12.75">
      <c r="A19" s="1" t="s">
        <v>364</v>
      </c>
      <c r="B19" s="148">
        <v>16500</v>
      </c>
      <c r="C19" s="123">
        <v>70600</v>
      </c>
      <c r="D19" s="148"/>
      <c r="E19" s="123">
        <f t="shared" si="0"/>
        <v>87100</v>
      </c>
      <c r="F19" s="124">
        <f t="shared" si="1"/>
        <v>1.3939420488454068</v>
      </c>
    </row>
    <row r="20" spans="1:6" ht="12.75">
      <c r="A20" s="1" t="s">
        <v>443</v>
      </c>
      <c r="B20" s="148">
        <v>19396.55</v>
      </c>
      <c r="C20" s="123"/>
      <c r="D20" s="148"/>
      <c r="E20" s="123">
        <f t="shared" si="0"/>
        <v>19396.55</v>
      </c>
      <c r="F20" s="124">
        <f t="shared" si="1"/>
        <v>0.3104209718430812</v>
      </c>
    </row>
    <row r="21" spans="1:6" ht="12.75">
      <c r="A21" s="1" t="s">
        <v>82</v>
      </c>
      <c r="B21" s="148">
        <f>2586.21</f>
        <v>2586.21</v>
      </c>
      <c r="C21" s="123">
        <f>-2586.21</f>
        <v>-2586.21</v>
      </c>
      <c r="D21" s="148"/>
      <c r="E21" s="123">
        <f t="shared" si="0"/>
        <v>0</v>
      </c>
      <c r="F21" s="124">
        <f t="shared" si="1"/>
        <v>0</v>
      </c>
    </row>
    <row r="22" spans="2:6" ht="9" customHeight="1">
      <c r="B22" s="155"/>
      <c r="C22" s="155"/>
      <c r="D22" s="155"/>
      <c r="E22" s="123"/>
      <c r="F22" s="124"/>
    </row>
    <row r="23" spans="1:7" ht="13.5" thickBot="1">
      <c r="A23" s="4" t="s">
        <v>95</v>
      </c>
      <c r="B23" s="161">
        <f>SUM(B9:B22)</f>
        <v>3919459.9299999997</v>
      </c>
      <c r="C23" s="161">
        <f>SUM(C9:C22)</f>
        <v>2329006.43</v>
      </c>
      <c r="D23" s="161">
        <f>SUM(D9:D22)</f>
        <v>0</v>
      </c>
      <c r="E23" s="161">
        <f>SUM(E9:E22)</f>
        <v>6248466.359999999</v>
      </c>
      <c r="F23" s="161">
        <f>SUM(F9:F22)</f>
        <v>100.00000000000003</v>
      </c>
      <c r="G23" s="66"/>
    </row>
    <row r="24" spans="2:6" ht="13.5" thickTop="1">
      <c r="B24" s="88"/>
      <c r="C24" s="88"/>
      <c r="D24" s="88"/>
      <c r="E24" s="88"/>
      <c r="F24" s="88"/>
    </row>
    <row r="25" ht="12.75">
      <c r="D25" s="24"/>
    </row>
    <row r="26" ht="12.75">
      <c r="D26" s="24"/>
    </row>
    <row r="47" ht="12.75">
      <c r="A47" s="8"/>
    </row>
    <row r="48" ht="12.75">
      <c r="A48" s="8"/>
    </row>
    <row r="49" spans="1:7" ht="12.75">
      <c r="A49" s="18"/>
      <c r="B49" s="74"/>
      <c r="C49" s="74"/>
      <c r="D49" s="74"/>
      <c r="E49" s="74"/>
      <c r="F49" s="74"/>
      <c r="G49" s="74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7086614173228347" header="0" footer="0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="125" zoomScaleNormal="125" zoomScalePageLayoutView="0" workbookViewId="0" topLeftCell="A1">
      <selection activeCell="B13" sqref="B13:F13"/>
    </sheetView>
  </sheetViews>
  <sheetFormatPr defaultColWidth="11.421875" defaultRowHeight="12.75"/>
  <cols>
    <col min="1" max="1" width="39.421875" style="1" customWidth="1"/>
    <col min="2" max="3" width="11.421875" style="22" customWidth="1"/>
    <col min="4" max="4" width="11.140625" style="22" customWidth="1"/>
    <col min="5" max="5" width="12.00390625" style="22" bestFit="1" customWidth="1"/>
    <col min="6" max="6" width="6.8515625" style="1" bestFit="1" customWidth="1"/>
    <col min="7" max="16384" width="11.421875" style="1" customWidth="1"/>
  </cols>
  <sheetData>
    <row r="1" spans="1:6" s="205" customFormat="1" ht="12.75">
      <c r="A1" s="202"/>
      <c r="B1" s="203"/>
      <c r="C1" s="203"/>
      <c r="D1" s="203"/>
      <c r="E1" s="352" t="s">
        <v>118</v>
      </c>
      <c r="F1" s="352"/>
    </row>
    <row r="2" spans="1:6" s="205" customFormat="1" ht="12.75">
      <c r="A2" s="351" t="s">
        <v>260</v>
      </c>
      <c r="B2" s="351"/>
      <c r="C2" s="351"/>
      <c r="D2" s="351"/>
      <c r="E2" s="351"/>
      <c r="F2" s="351"/>
    </row>
    <row r="3" spans="1:6" s="205" customFormat="1" ht="12.75">
      <c r="A3" s="353" t="s">
        <v>359</v>
      </c>
      <c r="B3" s="353"/>
      <c r="C3" s="353"/>
      <c r="D3" s="353"/>
      <c r="E3" s="353"/>
      <c r="F3" s="353"/>
    </row>
    <row r="4" spans="1:6" s="205" customFormat="1" ht="12.75">
      <c r="A4" s="351" t="s">
        <v>274</v>
      </c>
      <c r="B4" s="351"/>
      <c r="C4" s="351"/>
      <c r="D4" s="351"/>
      <c r="E4" s="351"/>
      <c r="F4" s="351"/>
    </row>
    <row r="5" spans="1:7" s="212" customFormat="1" ht="12.75">
      <c r="A5" s="351" t="s">
        <v>508</v>
      </c>
      <c r="B5" s="351"/>
      <c r="C5" s="351"/>
      <c r="D5" s="351"/>
      <c r="E5" s="351"/>
      <c r="F5" s="351"/>
      <c r="G5" s="211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2:6" ht="9" customHeight="1">
      <c r="B8" s="23"/>
      <c r="C8" s="23"/>
      <c r="D8" s="23"/>
      <c r="E8" s="23"/>
      <c r="F8" s="2"/>
    </row>
    <row r="9" spans="1:7" ht="13.5" customHeight="1">
      <c r="A9" s="1" t="s">
        <v>80</v>
      </c>
      <c r="B9" s="162">
        <v>3353411.8</v>
      </c>
      <c r="C9" s="162">
        <f>876352.13-5458.5-2200-48156-18000-30000-3000-3639-5171-7278-7278-2329.56-602.95-19225.25-28895-2005-16872.33-1577.48-10000-5171-12000-10917</f>
        <v>636576.06</v>
      </c>
      <c r="D9" s="155"/>
      <c r="E9" s="155">
        <f>SUM(B9:D9)</f>
        <v>3989987.86</v>
      </c>
      <c r="F9" s="124">
        <f>(E9/$E$13*100)</f>
        <v>18.839261776908927</v>
      </c>
      <c r="G9" s="155"/>
    </row>
    <row r="10" spans="1:6" ht="13.5" customHeight="1">
      <c r="A10" s="1" t="s">
        <v>170</v>
      </c>
      <c r="B10" s="155">
        <v>4999972.15</v>
      </c>
      <c r="C10" s="162">
        <v>2772092.02</v>
      </c>
      <c r="D10" s="155"/>
      <c r="E10" s="155">
        <f>SUM(B10:D10)</f>
        <v>7772064.17</v>
      </c>
      <c r="F10" s="124">
        <f>(E10/$E$13*100)</f>
        <v>36.69684133965371</v>
      </c>
    </row>
    <row r="11" spans="1:6" ht="13.5" customHeight="1">
      <c r="A11" s="1" t="s">
        <v>122</v>
      </c>
      <c r="B11" s="155">
        <v>8695092.16</v>
      </c>
      <c r="C11" s="162">
        <v>721965.2</v>
      </c>
      <c r="E11" s="155">
        <f>SUM(B11:D11)</f>
        <v>9417057.36</v>
      </c>
      <c r="F11" s="124">
        <f>(E11/$E$13*100)</f>
        <v>44.46389688343736</v>
      </c>
    </row>
    <row r="12" spans="2:6" ht="12.75">
      <c r="B12" s="155"/>
      <c r="C12" s="155"/>
      <c r="D12" s="288"/>
      <c r="E12" s="155"/>
      <c r="F12" s="124"/>
    </row>
    <row r="13" spans="1:6" ht="13.5" thickBot="1">
      <c r="A13" s="230" t="s">
        <v>95</v>
      </c>
      <c r="B13" s="139">
        <f>SUM(B9:B12)</f>
        <v>17048476.11</v>
      </c>
      <c r="C13" s="139">
        <f>SUM(C9:C12)</f>
        <v>4130633.2800000003</v>
      </c>
      <c r="D13" s="139">
        <f>SUM(D9:D12)</f>
        <v>0</v>
      </c>
      <c r="E13" s="139">
        <f>SUM(E9:E12)</f>
        <v>21179109.39</v>
      </c>
      <c r="F13" s="139">
        <f>SUM(F9:F12)</f>
        <v>100</v>
      </c>
    </row>
    <row r="14" ht="13.5" thickTop="1"/>
    <row r="15" ht="12.75">
      <c r="D15" s="155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984251968503937" header="0" footer="0"/>
  <pageSetup horizontalDpi="600" verticalDpi="600" orientation="portrait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zoomScale="125" zoomScaleNormal="125" zoomScalePageLayoutView="0" workbookViewId="0" topLeftCell="A1">
      <selection activeCell="E18" sqref="E18"/>
    </sheetView>
  </sheetViews>
  <sheetFormatPr defaultColWidth="11.421875" defaultRowHeight="12.75"/>
  <cols>
    <col min="1" max="1" width="40.28125" style="1" customWidth="1"/>
    <col min="2" max="3" width="11.421875" style="22" customWidth="1"/>
    <col min="4" max="4" width="11.140625" style="22" customWidth="1"/>
    <col min="5" max="5" width="12.00390625" style="22" bestFit="1" customWidth="1"/>
    <col min="6" max="6" width="6.8515625" style="1" bestFit="1" customWidth="1"/>
    <col min="7" max="16384" width="11.421875" style="1" customWidth="1"/>
  </cols>
  <sheetData>
    <row r="1" spans="1:6" s="205" customFormat="1" ht="12.75">
      <c r="A1" s="202"/>
      <c r="B1" s="203"/>
      <c r="C1" s="203"/>
      <c r="D1" s="203"/>
      <c r="E1" s="354" t="s">
        <v>425</v>
      </c>
      <c r="F1" s="352"/>
    </row>
    <row r="2" spans="1:6" s="205" customFormat="1" ht="12.75">
      <c r="A2" s="351" t="s">
        <v>260</v>
      </c>
      <c r="B2" s="351"/>
      <c r="C2" s="351"/>
      <c r="D2" s="351"/>
      <c r="E2" s="351"/>
      <c r="F2" s="351"/>
    </row>
    <row r="3" spans="1:6" s="205" customFormat="1" ht="12.75">
      <c r="A3" s="353" t="s">
        <v>359</v>
      </c>
      <c r="B3" s="353"/>
      <c r="C3" s="353"/>
      <c r="D3" s="353"/>
      <c r="E3" s="353"/>
      <c r="F3" s="353"/>
    </row>
    <row r="4" spans="1:6" s="205" customFormat="1" ht="12.75">
      <c r="A4" s="351" t="s">
        <v>423</v>
      </c>
      <c r="B4" s="351"/>
      <c r="C4" s="351"/>
      <c r="D4" s="351"/>
      <c r="E4" s="351"/>
      <c r="F4" s="351"/>
    </row>
    <row r="5" spans="1:7" s="212" customFormat="1" ht="12.75">
      <c r="A5" s="351" t="s">
        <v>508</v>
      </c>
      <c r="B5" s="351"/>
      <c r="C5" s="351"/>
      <c r="D5" s="351"/>
      <c r="E5" s="351"/>
      <c r="F5" s="351"/>
      <c r="G5" s="211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2:6" ht="9" customHeight="1">
      <c r="B8" s="23"/>
      <c r="C8" s="23"/>
      <c r="D8" s="23"/>
      <c r="E8" s="23"/>
      <c r="F8" s="2"/>
    </row>
    <row r="9" spans="1:6" ht="13.5" customHeight="1">
      <c r="A9" s="7" t="s">
        <v>561</v>
      </c>
      <c r="B9" s="162"/>
      <c r="C9" s="162">
        <v>-35000</v>
      </c>
      <c r="D9" s="162"/>
      <c r="E9" s="155">
        <f>SUM(B9:D9)</f>
        <v>-35000</v>
      </c>
      <c r="F9" s="124">
        <f>(E9/$E$13*100)</f>
        <v>30.434782608695656</v>
      </c>
    </row>
    <row r="10" spans="1:6" ht="13.5" customHeight="1">
      <c r="A10" s="1" t="s">
        <v>77</v>
      </c>
      <c r="B10" s="162"/>
      <c r="C10" s="162">
        <v>-35000</v>
      </c>
      <c r="D10" s="162"/>
      <c r="E10" s="155">
        <f>SUM(B10:D10)</f>
        <v>-35000</v>
      </c>
      <c r="F10" s="124">
        <f>(E10/$E$13*100)</f>
        <v>30.434782608695656</v>
      </c>
    </row>
    <row r="11" spans="1:6" ht="13.5" customHeight="1">
      <c r="A11" s="1" t="s">
        <v>333</v>
      </c>
      <c r="B11" s="162"/>
      <c r="C11" s="162">
        <v>-45000</v>
      </c>
      <c r="D11" s="162"/>
      <c r="E11" s="155">
        <f>SUM(B11:D11)</f>
        <v>-45000</v>
      </c>
      <c r="F11" s="124">
        <f>(E11/$E$13*100)</f>
        <v>39.130434782608695</v>
      </c>
    </row>
    <row r="12" spans="2:6" ht="9" customHeight="1">
      <c r="B12" s="155"/>
      <c r="C12" s="155"/>
      <c r="D12" s="123"/>
      <c r="E12" s="155"/>
      <c r="F12" s="124"/>
    </row>
    <row r="13" spans="1:6" ht="13.5" thickBot="1">
      <c r="A13" s="230" t="s">
        <v>95</v>
      </c>
      <c r="B13" s="139">
        <f>SUM(B9:B12)</f>
        <v>0</v>
      </c>
      <c r="C13" s="139">
        <f>SUM(C9:C12)</f>
        <v>-115000</v>
      </c>
      <c r="D13" s="139">
        <f>SUM(D9:D12)</f>
        <v>0</v>
      </c>
      <c r="E13" s="139">
        <f>SUM(E9:E12)</f>
        <v>-115000</v>
      </c>
      <c r="F13" s="139">
        <f>SUM(F9:F12)</f>
        <v>100</v>
      </c>
    </row>
    <row r="14" ht="13.5" thickTop="1"/>
  </sheetData>
  <sheetProtection/>
  <mergeCells count="5">
    <mergeCell ref="E1:F1"/>
    <mergeCell ref="A2:F2"/>
    <mergeCell ref="A3:F3"/>
    <mergeCell ref="A4:F4"/>
    <mergeCell ref="A5:F5"/>
  </mergeCells>
  <printOptions/>
  <pageMargins left="0.8661417322834646" right="0.5905511811023623" top="0.7874015748031497" bottom="0.984251968503937" header="0" footer="0"/>
  <pageSetup horizontalDpi="600" verticalDpi="600" orientation="portrait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zoomScale="125" zoomScaleNormal="125" zoomScalePageLayoutView="0" workbookViewId="0" topLeftCell="A1">
      <selection activeCell="H14" sqref="H14"/>
    </sheetView>
  </sheetViews>
  <sheetFormatPr defaultColWidth="11.421875" defaultRowHeight="12.75"/>
  <cols>
    <col min="1" max="1" width="39.57421875" style="1" customWidth="1"/>
    <col min="2" max="5" width="11.7109375" style="22" customWidth="1"/>
    <col min="6" max="6" width="6.140625" style="1" customWidth="1"/>
    <col min="7" max="16384" width="11.421875" style="1" customWidth="1"/>
  </cols>
  <sheetData>
    <row r="1" spans="1:6" s="205" customFormat="1" ht="12.75">
      <c r="A1" s="202"/>
      <c r="B1" s="203"/>
      <c r="C1" s="203"/>
      <c r="D1" s="203"/>
      <c r="E1" s="354" t="s">
        <v>456</v>
      </c>
      <c r="F1" s="352"/>
    </row>
    <row r="2" spans="1:6" s="205" customFormat="1" ht="12.75">
      <c r="A2" s="351" t="s">
        <v>260</v>
      </c>
      <c r="B2" s="351"/>
      <c r="C2" s="351"/>
      <c r="D2" s="351"/>
      <c r="E2" s="351"/>
      <c r="F2" s="351"/>
    </row>
    <row r="3" spans="1:6" s="205" customFormat="1" ht="12.75">
      <c r="A3" s="353" t="s">
        <v>359</v>
      </c>
      <c r="B3" s="353"/>
      <c r="C3" s="353"/>
      <c r="D3" s="353"/>
      <c r="E3" s="353"/>
      <c r="F3" s="353"/>
    </row>
    <row r="4" spans="1:6" s="205" customFormat="1" ht="12.75">
      <c r="A4" s="351" t="s">
        <v>455</v>
      </c>
      <c r="B4" s="351"/>
      <c r="C4" s="351"/>
      <c r="D4" s="351"/>
      <c r="E4" s="351"/>
      <c r="F4" s="351"/>
    </row>
    <row r="5" spans="1:7" s="212" customFormat="1" ht="12.75">
      <c r="A5" s="351" t="s">
        <v>508</v>
      </c>
      <c r="B5" s="351"/>
      <c r="C5" s="351"/>
      <c r="D5" s="351"/>
      <c r="E5" s="351"/>
      <c r="F5" s="351"/>
      <c r="G5" s="211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2:6" ht="9" customHeight="1">
      <c r="B8" s="23"/>
      <c r="C8" s="23"/>
      <c r="D8" s="23"/>
      <c r="E8" s="23"/>
      <c r="F8" s="2"/>
    </row>
    <row r="9" spans="1:6" ht="13.5" customHeight="1">
      <c r="A9" s="41" t="s">
        <v>647</v>
      </c>
      <c r="B9" s="162"/>
      <c r="C9" s="162">
        <v>2250000</v>
      </c>
      <c r="D9" s="162"/>
      <c r="E9" s="155">
        <f aca="true" t="shared" si="0" ref="E9:E18">SUM(B9:D9)</f>
        <v>2250000</v>
      </c>
      <c r="F9" s="124">
        <f aca="true" t="shared" si="1" ref="F9:F18">(E9/$E$20*100)</f>
        <v>28.371786666609506</v>
      </c>
    </row>
    <row r="10" spans="1:6" ht="13.5" customHeight="1">
      <c r="A10" s="1" t="s">
        <v>81</v>
      </c>
      <c r="B10" s="162"/>
      <c r="C10" s="162">
        <v>230375</v>
      </c>
      <c r="D10" s="162"/>
      <c r="E10" s="155">
        <f t="shared" si="0"/>
        <v>230375</v>
      </c>
      <c r="F10" s="124">
        <f t="shared" si="1"/>
        <v>2.9049557125867396</v>
      </c>
    </row>
    <row r="11" spans="1:6" ht="13.5" customHeight="1">
      <c r="A11" s="1" t="s">
        <v>353</v>
      </c>
      <c r="B11" s="162">
        <v>1060000</v>
      </c>
      <c r="C11" s="162"/>
      <c r="D11" s="162"/>
      <c r="E11" s="155">
        <f t="shared" si="0"/>
        <v>1060000</v>
      </c>
      <c r="F11" s="124">
        <f t="shared" si="1"/>
        <v>13.36626394071381</v>
      </c>
    </row>
    <row r="12" spans="1:6" ht="13.5" customHeight="1">
      <c r="A12" s="1" t="s">
        <v>328</v>
      </c>
      <c r="B12" s="162">
        <v>1503921.74</v>
      </c>
      <c r="C12" s="162">
        <f>418068.14-187500</f>
        <v>230568.14</v>
      </c>
      <c r="D12" s="162"/>
      <c r="E12" s="155">
        <f t="shared" si="0"/>
        <v>1734489.88</v>
      </c>
      <c r="F12" s="124">
        <f t="shared" si="1"/>
        <v>21.871367489223605</v>
      </c>
    </row>
    <row r="13" spans="1:6" ht="13.5" customHeight="1">
      <c r="A13" s="1" t="s">
        <v>329</v>
      </c>
      <c r="B13" s="162">
        <v>88000</v>
      </c>
      <c r="C13" s="162"/>
      <c r="D13" s="162"/>
      <c r="E13" s="155">
        <f t="shared" si="0"/>
        <v>88000</v>
      </c>
      <c r="F13" s="124">
        <f t="shared" si="1"/>
        <v>1.1096521007385052</v>
      </c>
    </row>
    <row r="14" spans="1:6" ht="13.5" customHeight="1">
      <c r="A14" s="1" t="s">
        <v>206</v>
      </c>
      <c r="B14" s="162">
        <v>469633.62</v>
      </c>
      <c r="C14" s="162"/>
      <c r="D14" s="162"/>
      <c r="E14" s="155">
        <f t="shared" si="0"/>
        <v>469633.62</v>
      </c>
      <c r="F14" s="124">
        <f t="shared" si="1"/>
        <v>5.921931056936691</v>
      </c>
    </row>
    <row r="15" spans="1:6" ht="13.5" customHeight="1">
      <c r="A15" s="1" t="s">
        <v>171</v>
      </c>
      <c r="B15" s="162">
        <v>1518265</v>
      </c>
      <c r="C15" s="162">
        <v>319000</v>
      </c>
      <c r="D15" s="162"/>
      <c r="E15" s="155">
        <f t="shared" si="0"/>
        <v>1837265</v>
      </c>
      <c r="F15" s="124">
        <f t="shared" si="1"/>
        <v>23.16732916890147</v>
      </c>
    </row>
    <row r="16" spans="1:6" ht="13.5" customHeight="1">
      <c r="A16" s="7" t="s">
        <v>531</v>
      </c>
      <c r="B16" s="162"/>
      <c r="C16" s="162">
        <v>121875</v>
      </c>
      <c r="D16" s="162"/>
      <c r="E16" s="155">
        <f t="shared" si="0"/>
        <v>121875</v>
      </c>
      <c r="F16" s="124">
        <f t="shared" si="1"/>
        <v>1.5368051111080148</v>
      </c>
    </row>
    <row r="17" spans="1:6" ht="13.5" customHeight="1">
      <c r="A17" s="41" t="s">
        <v>648</v>
      </c>
      <c r="B17" s="162"/>
      <c r="C17" s="162">
        <v>100000</v>
      </c>
      <c r="D17" s="162"/>
      <c r="E17" s="155">
        <f t="shared" si="0"/>
        <v>100000</v>
      </c>
      <c r="F17" s="124">
        <f t="shared" si="1"/>
        <v>1.2609682962937556</v>
      </c>
    </row>
    <row r="18" spans="1:6" ht="13.5" customHeight="1">
      <c r="A18" s="1" t="s">
        <v>324</v>
      </c>
      <c r="B18" s="162"/>
      <c r="C18" s="162">
        <v>38775</v>
      </c>
      <c r="D18" s="162"/>
      <c r="E18" s="155">
        <f t="shared" si="0"/>
        <v>38775</v>
      </c>
      <c r="F18" s="124">
        <f t="shared" si="1"/>
        <v>0.4889404568879038</v>
      </c>
    </row>
    <row r="19" spans="2:6" ht="9" customHeight="1">
      <c r="B19" s="155"/>
      <c r="C19" s="155"/>
      <c r="D19" s="123"/>
      <c r="E19" s="155"/>
      <c r="F19" s="124"/>
    </row>
    <row r="20" spans="1:6" ht="13.5" thickBot="1">
      <c r="A20" s="230" t="s">
        <v>95</v>
      </c>
      <c r="B20" s="139">
        <f>SUM(B9:B18)</f>
        <v>4639820.36</v>
      </c>
      <c r="C20" s="139">
        <f>SUM(C9:C18)</f>
        <v>3290593.14</v>
      </c>
      <c r="D20" s="139">
        <f>SUM(D9:D18)</f>
        <v>0</v>
      </c>
      <c r="E20" s="139">
        <f>SUM(E9:E18)</f>
        <v>7930413.5</v>
      </c>
      <c r="F20" s="139">
        <f>SUM(F9:F18)</f>
        <v>99.99999999999999</v>
      </c>
    </row>
    <row r="21" ht="13.5" thickTop="1"/>
  </sheetData>
  <sheetProtection/>
  <mergeCells count="5">
    <mergeCell ref="E1:F1"/>
    <mergeCell ref="A2:F2"/>
    <mergeCell ref="A3:F3"/>
    <mergeCell ref="A4:F4"/>
    <mergeCell ref="A5:F5"/>
  </mergeCells>
  <printOptions/>
  <pageMargins left="0.8661417322834646" right="0.5905511811023623" top="0.7874015748031497" bottom="0.984251968503937" header="0" footer="0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124" zoomScaleNormal="124" zoomScalePageLayoutView="0" workbookViewId="0" topLeftCell="A1">
      <selection activeCell="F24" sqref="F24"/>
    </sheetView>
  </sheetViews>
  <sheetFormatPr defaultColWidth="11.421875" defaultRowHeight="12.75"/>
  <cols>
    <col min="1" max="1" width="31.57421875" style="1" customWidth="1"/>
    <col min="2" max="2" width="14.00390625" style="1" customWidth="1"/>
    <col min="3" max="3" width="14.28125" style="1" customWidth="1"/>
    <col min="4" max="4" width="14.57421875" style="1" customWidth="1"/>
    <col min="5" max="5" width="14.28125" style="1" customWidth="1"/>
    <col min="6" max="6" width="6.57421875" style="1" customWidth="1"/>
    <col min="7" max="7" width="2.8515625" style="1" customWidth="1"/>
    <col min="8" max="8" width="4.7109375" style="1" customWidth="1"/>
    <col min="9" max="9" width="11.7109375" style="1" bestFit="1" customWidth="1"/>
    <col min="10" max="16384" width="11.421875" style="1" customWidth="1"/>
  </cols>
  <sheetData>
    <row r="1" spans="1:6" ht="12.75" customHeight="1">
      <c r="A1" s="202"/>
      <c r="B1" s="202"/>
      <c r="C1" s="202"/>
      <c r="D1" s="202"/>
      <c r="E1" s="352" t="s">
        <v>3</v>
      </c>
      <c r="F1" s="352"/>
    </row>
    <row r="2" spans="1:6" ht="13.5" customHeight="1">
      <c r="A2" s="351" t="s">
        <v>260</v>
      </c>
      <c r="B2" s="351"/>
      <c r="C2" s="351"/>
      <c r="D2" s="351"/>
      <c r="E2" s="351"/>
      <c r="F2" s="351"/>
    </row>
    <row r="3" spans="1:6" ht="13.5" customHeight="1">
      <c r="A3" s="353" t="s">
        <v>359</v>
      </c>
      <c r="B3" s="353"/>
      <c r="C3" s="353"/>
      <c r="D3" s="353"/>
      <c r="E3" s="353"/>
      <c r="F3" s="353"/>
    </row>
    <row r="4" spans="1:6" ht="13.5" customHeight="1">
      <c r="A4" s="351" t="s">
        <v>261</v>
      </c>
      <c r="B4" s="351"/>
      <c r="C4" s="351"/>
      <c r="D4" s="351"/>
      <c r="E4" s="351"/>
      <c r="F4" s="351"/>
    </row>
    <row r="5" spans="1:6" ht="13.5" customHeight="1">
      <c r="A5" s="351" t="s">
        <v>508</v>
      </c>
      <c r="B5" s="351"/>
      <c r="C5" s="351"/>
      <c r="D5" s="351"/>
      <c r="E5" s="351"/>
      <c r="F5" s="351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1:6" ht="15.75" customHeight="1">
      <c r="A8" s="64"/>
      <c r="B8" s="64"/>
      <c r="C8" s="64"/>
      <c r="D8" s="178"/>
      <c r="E8" s="64"/>
      <c r="F8" s="2"/>
    </row>
    <row r="9" spans="1:6" ht="15.75" customHeight="1">
      <c r="A9" s="227" t="s">
        <v>400</v>
      </c>
      <c r="B9" s="64"/>
      <c r="C9" s="64"/>
      <c r="D9" s="178"/>
      <c r="E9" s="64"/>
      <c r="F9" s="2"/>
    </row>
    <row r="10" spans="1:6" ht="7.5" customHeight="1">
      <c r="A10" s="64"/>
      <c r="B10" s="64"/>
      <c r="C10" s="64"/>
      <c r="D10" s="178"/>
      <c r="E10" s="64"/>
      <c r="F10" s="2"/>
    </row>
    <row r="11" spans="1:8" ht="12.75">
      <c r="A11" s="1" t="s">
        <v>21</v>
      </c>
      <c r="B11" s="118">
        <v>183629000</v>
      </c>
      <c r="C11" s="117">
        <v>142365398</v>
      </c>
      <c r="D11" s="118">
        <v>345216000</v>
      </c>
      <c r="E11" s="117">
        <f>SUM(B11:D11)</f>
        <v>671210398</v>
      </c>
      <c r="F11" s="119">
        <f>E11/E24*100</f>
        <v>55.806970402761756</v>
      </c>
      <c r="G11" s="9"/>
      <c r="H11" s="9"/>
    </row>
    <row r="12" spans="1:8" ht="12.75">
      <c r="A12" s="1" t="s">
        <v>279</v>
      </c>
      <c r="B12" s="118">
        <v>3316841.38</v>
      </c>
      <c r="C12" s="117">
        <v>2643812.84</v>
      </c>
      <c r="D12" s="118"/>
      <c r="E12" s="117">
        <f>SUM(B12:D12)</f>
        <v>5960654.22</v>
      </c>
      <c r="F12" s="119">
        <f>E12/E24*100</f>
        <v>0.49559132967519515</v>
      </c>
      <c r="G12" s="9"/>
      <c r="H12" s="9"/>
    </row>
    <row r="13" spans="1:8" ht="12.75">
      <c r="A13" s="1" t="s">
        <v>458</v>
      </c>
      <c r="B13" s="118">
        <f>83079397+15487000</f>
        <v>98566397</v>
      </c>
      <c r="C13" s="117">
        <f>6054664-237000+150000000</f>
        <v>155817664</v>
      </c>
      <c r="D13" s="118"/>
      <c r="E13" s="117">
        <f>SUM(B13:D13)</f>
        <v>254384061</v>
      </c>
      <c r="F13" s="119">
        <f>E13/E24*100</f>
        <v>21.15045268288788</v>
      </c>
      <c r="G13" s="9"/>
      <c r="H13" s="9"/>
    </row>
    <row r="14" spans="2:8" ht="6.75" customHeight="1">
      <c r="B14" s="120"/>
      <c r="C14" s="120"/>
      <c r="D14" s="121"/>
      <c r="E14" s="120"/>
      <c r="F14" s="122"/>
      <c r="H14" s="14"/>
    </row>
    <row r="15" spans="1:8" ht="12.75">
      <c r="A15" s="79" t="s">
        <v>24</v>
      </c>
      <c r="B15" s="121">
        <f>SUM(B11:B14)</f>
        <v>285512238.38</v>
      </c>
      <c r="C15" s="121">
        <f>SUM(C11:C14)</f>
        <v>300826874.84000003</v>
      </c>
      <c r="D15" s="121">
        <f>SUM(D11:D14)</f>
        <v>345216000</v>
      </c>
      <c r="E15" s="121">
        <f>SUM(E11:E14)</f>
        <v>931555113.22</v>
      </c>
      <c r="F15" s="121">
        <f>SUM(F11:F14)</f>
        <v>77.45301441532483</v>
      </c>
      <c r="H15" s="14"/>
    </row>
    <row r="16" spans="2:8" ht="15" customHeight="1">
      <c r="B16" s="118"/>
      <c r="C16" s="118"/>
      <c r="D16" s="118"/>
      <c r="E16" s="123"/>
      <c r="F16" s="124"/>
      <c r="H16" s="14"/>
    </row>
    <row r="17" spans="1:8" ht="14.25" customHeight="1">
      <c r="A17" s="227" t="s">
        <v>401</v>
      </c>
      <c r="B17" s="118"/>
      <c r="C17" s="118"/>
      <c r="D17" s="118"/>
      <c r="E17" s="123"/>
      <c r="F17" s="124"/>
      <c r="H17" s="14"/>
    </row>
    <row r="18" spans="2:8" ht="6" customHeight="1">
      <c r="B18" s="118"/>
      <c r="C18" s="118"/>
      <c r="D18" s="118"/>
      <c r="E18" s="123"/>
      <c r="F18" s="124"/>
      <c r="H18" s="14"/>
    </row>
    <row r="19" spans="1:8" ht="12.75">
      <c r="A19" s="6" t="s">
        <v>25</v>
      </c>
      <c r="B19" s="118">
        <v>85985728</v>
      </c>
      <c r="C19" s="118">
        <v>85985727</v>
      </c>
      <c r="D19" s="118">
        <f>32309532+52904356+12500000</f>
        <v>97713888</v>
      </c>
      <c r="E19" s="123">
        <f>SUM(B19:D19)</f>
        <v>269685343</v>
      </c>
      <c r="F19" s="124">
        <f>E19/E24*100</f>
        <v>22.422659124031703</v>
      </c>
      <c r="G19" s="9"/>
      <c r="H19" s="9"/>
    </row>
    <row r="20" spans="1:8" ht="12.75">
      <c r="A20" s="6" t="s">
        <v>447</v>
      </c>
      <c r="B20" s="118">
        <f>16982318.82-15487000</f>
        <v>1495318.8200000003</v>
      </c>
      <c r="C20" s="118"/>
      <c r="D20" s="118"/>
      <c r="E20" s="123">
        <f>SUM(B20:D20)</f>
        <v>1495318.8200000003</v>
      </c>
      <c r="F20" s="124">
        <f>E20/E24*100</f>
        <v>0.12432646064346675</v>
      </c>
      <c r="G20" s="9"/>
      <c r="H20" s="9"/>
    </row>
    <row r="21" spans="1:7" ht="6.75" customHeight="1">
      <c r="A21" s="6"/>
      <c r="B21" s="121"/>
      <c r="C21" s="121"/>
      <c r="D21" s="121"/>
      <c r="E21" s="120"/>
      <c r="F21" s="122"/>
      <c r="G21" s="9"/>
    </row>
    <row r="22" spans="1:7" ht="13.5" customHeight="1">
      <c r="A22" s="79" t="s">
        <v>27</v>
      </c>
      <c r="B22" s="118">
        <f>SUM(B19:B21)</f>
        <v>87481046.82</v>
      </c>
      <c r="C22" s="118">
        <f>SUM(C19:C21)</f>
        <v>85985727</v>
      </c>
      <c r="D22" s="118">
        <f>SUM(D19:D21)</f>
        <v>97713888</v>
      </c>
      <c r="E22" s="118">
        <f>SUM(E19:E21)</f>
        <v>271180661.82</v>
      </c>
      <c r="F22" s="118">
        <f>SUM(F19:F21)</f>
        <v>22.54698558467517</v>
      </c>
      <c r="G22" s="14"/>
    </row>
    <row r="23" spans="1:6" ht="10.5" customHeight="1">
      <c r="A23" s="6"/>
      <c r="B23" s="118"/>
      <c r="C23" s="118"/>
      <c r="D23" s="118"/>
      <c r="E23" s="123"/>
      <c r="F23" s="124"/>
    </row>
    <row r="24" spans="1:6" ht="13.5" thickBot="1">
      <c r="A24" s="79" t="s">
        <v>158</v>
      </c>
      <c r="B24" s="125">
        <f>B15+B22</f>
        <v>372993285.2</v>
      </c>
      <c r="C24" s="125">
        <f>C15+C22</f>
        <v>386812601.84000003</v>
      </c>
      <c r="D24" s="125">
        <f>D15+D22</f>
        <v>442929888</v>
      </c>
      <c r="E24" s="125">
        <f>E15+E22</f>
        <v>1202735775.04</v>
      </c>
      <c r="F24" s="126">
        <f>F15+F22</f>
        <v>100</v>
      </c>
    </row>
    <row r="25" spans="1:6" ht="6.75" customHeight="1" thickTop="1">
      <c r="A25" s="4"/>
      <c r="B25" s="127"/>
      <c r="C25" s="127"/>
      <c r="D25" s="127"/>
      <c r="E25" s="127"/>
      <c r="F25" s="127"/>
    </row>
    <row r="26" spans="2:4" ht="12.75">
      <c r="B26" s="7"/>
      <c r="D26" s="273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4724409448818898" top="0.7874015748031497" bottom="0.5905511811023623" header="0" footer="0"/>
  <pageSetup horizontalDpi="600" verticalDpi="600" orientation="portrait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C109" sqref="C109"/>
    </sheetView>
  </sheetViews>
  <sheetFormatPr defaultColWidth="11.421875" defaultRowHeight="12.75"/>
  <cols>
    <col min="1" max="1" width="45.00390625" style="298" customWidth="1"/>
    <col min="2" max="2" width="16.421875" style="298" customWidth="1"/>
    <col min="3" max="3" width="12.7109375" style="298" customWidth="1"/>
    <col min="4" max="4" width="13.57421875" style="298" customWidth="1"/>
    <col min="5" max="5" width="3.28125" style="325" customWidth="1"/>
    <col min="6" max="6" width="11.421875" style="298" customWidth="1"/>
    <col min="7" max="7" width="12.00390625" style="298" bestFit="1" customWidth="1"/>
    <col min="8" max="16384" width="11.421875" style="298" customWidth="1"/>
  </cols>
  <sheetData>
    <row r="1" spans="1:5" s="294" customFormat="1" ht="12.75">
      <c r="A1" s="291"/>
      <c r="B1" s="291"/>
      <c r="C1" s="292"/>
      <c r="D1" s="293" t="s">
        <v>18</v>
      </c>
      <c r="E1" s="292"/>
    </row>
    <row r="2" spans="1:5" s="294" customFormat="1" ht="12.75">
      <c r="A2" s="359" t="s">
        <v>260</v>
      </c>
      <c r="B2" s="359"/>
      <c r="C2" s="359"/>
      <c r="D2" s="359"/>
      <c r="E2" s="292"/>
    </row>
    <row r="3" spans="1:5" s="294" customFormat="1" ht="12.75">
      <c r="A3" s="359" t="s">
        <v>359</v>
      </c>
      <c r="B3" s="359"/>
      <c r="C3" s="359"/>
      <c r="D3" s="359"/>
      <c r="E3" s="292"/>
    </row>
    <row r="4" spans="1:5" s="294" customFormat="1" ht="12.75">
      <c r="A4" s="359" t="s">
        <v>599</v>
      </c>
      <c r="B4" s="359"/>
      <c r="C4" s="359"/>
      <c r="D4" s="359"/>
      <c r="E4" s="292"/>
    </row>
    <row r="5" spans="1:5" ht="18.75" customHeight="1">
      <c r="A5" s="296"/>
      <c r="B5" s="296"/>
      <c r="C5" s="296"/>
      <c r="D5" s="296"/>
      <c r="E5" s="297"/>
    </row>
    <row r="6" spans="1:5" ht="33" customHeight="1">
      <c r="A6" s="299" t="s">
        <v>164</v>
      </c>
      <c r="B6" s="299" t="s">
        <v>119</v>
      </c>
      <c r="C6" s="299" t="s">
        <v>94</v>
      </c>
      <c r="D6" s="300" t="s">
        <v>499</v>
      </c>
      <c r="E6" s="297"/>
    </row>
    <row r="7" spans="1:5" ht="12.75" customHeight="1">
      <c r="A7" s="295"/>
      <c r="B7" s="295"/>
      <c r="C7" s="295"/>
      <c r="D7" s="301"/>
      <c r="E7" s="297"/>
    </row>
    <row r="8" spans="1:5" ht="12.75">
      <c r="A8" s="302" t="s">
        <v>222</v>
      </c>
      <c r="B8" s="291"/>
      <c r="C8" s="303"/>
      <c r="D8" s="301"/>
      <c r="E8" s="297"/>
    </row>
    <row r="9" spans="1:5" ht="6.75" customHeight="1">
      <c r="A9" s="302"/>
      <c r="B9" s="291"/>
      <c r="C9" s="303"/>
      <c r="D9" s="301"/>
      <c r="E9" s="297"/>
    </row>
    <row r="10" spans="1:5" s="305" customFormat="1" ht="12.75">
      <c r="A10" s="306" t="s">
        <v>96</v>
      </c>
      <c r="B10" s="291" t="s">
        <v>175</v>
      </c>
      <c r="C10" s="303">
        <v>65500611562</v>
      </c>
      <c r="D10" s="304">
        <f>218430.83</f>
        <v>218430.83</v>
      </c>
      <c r="E10" s="307" t="s">
        <v>22</v>
      </c>
    </row>
    <row r="11" spans="1:5" s="305" customFormat="1" ht="12.75">
      <c r="A11" s="306" t="s">
        <v>197</v>
      </c>
      <c r="B11" s="291" t="s">
        <v>175</v>
      </c>
      <c r="C11" s="303">
        <v>65501752447</v>
      </c>
      <c r="D11" s="304">
        <v>30863.24</v>
      </c>
      <c r="E11" s="297"/>
    </row>
    <row r="12" spans="1:5" s="305" customFormat="1" ht="12.75">
      <c r="A12" s="308" t="s">
        <v>147</v>
      </c>
      <c r="B12" s="291" t="s">
        <v>175</v>
      </c>
      <c r="C12" s="303">
        <v>65501752433</v>
      </c>
      <c r="D12" s="304">
        <v>-560770.21</v>
      </c>
      <c r="E12" s="307" t="s">
        <v>23</v>
      </c>
    </row>
    <row r="13" spans="1:5" s="305" customFormat="1" ht="12.75">
      <c r="A13" s="306" t="s">
        <v>198</v>
      </c>
      <c r="B13" s="291" t="s">
        <v>175</v>
      </c>
      <c r="C13" s="303">
        <v>65501761036</v>
      </c>
      <c r="D13" s="304">
        <v>848139.7</v>
      </c>
      <c r="E13" s="307"/>
    </row>
    <row r="14" spans="1:5" s="305" customFormat="1" ht="12.75">
      <c r="A14" s="306" t="s">
        <v>243</v>
      </c>
      <c r="B14" s="291" t="s">
        <v>175</v>
      </c>
      <c r="C14" s="303">
        <v>65501790364</v>
      </c>
      <c r="D14" s="304">
        <v>53770.68</v>
      </c>
      <c r="E14" s="297"/>
    </row>
    <row r="15" spans="1:5" s="305" customFormat="1" ht="12.75">
      <c r="A15" s="308" t="s">
        <v>150</v>
      </c>
      <c r="B15" s="291" t="s">
        <v>176</v>
      </c>
      <c r="C15" s="303" t="s">
        <v>99</v>
      </c>
      <c r="D15" s="304">
        <v>291767.65</v>
      </c>
      <c r="E15" s="297"/>
    </row>
    <row r="16" spans="1:5" s="305" customFormat="1" ht="12.75">
      <c r="A16" s="308" t="s">
        <v>150</v>
      </c>
      <c r="B16" s="291" t="s">
        <v>176</v>
      </c>
      <c r="C16" s="303">
        <v>162537494</v>
      </c>
      <c r="D16" s="304">
        <v>197646</v>
      </c>
      <c r="E16" s="297"/>
    </row>
    <row r="17" spans="1:5" s="305" customFormat="1" ht="12.75">
      <c r="A17" s="308" t="s">
        <v>488</v>
      </c>
      <c r="B17" s="291" t="s">
        <v>177</v>
      </c>
      <c r="C17" s="303">
        <v>4031053267</v>
      </c>
      <c r="D17" s="304">
        <v>9982.61</v>
      </c>
      <c r="E17" s="307"/>
    </row>
    <row r="18" spans="1:5" s="305" customFormat="1" ht="12.75">
      <c r="A18" s="308" t="s">
        <v>489</v>
      </c>
      <c r="B18" s="291" t="s">
        <v>177</v>
      </c>
      <c r="C18" s="303">
        <v>4044248151</v>
      </c>
      <c r="D18" s="304">
        <v>430477.87</v>
      </c>
      <c r="E18" s="307"/>
    </row>
    <row r="19" spans="1:5" s="305" customFormat="1" ht="12.75">
      <c r="A19" s="308" t="s">
        <v>147</v>
      </c>
      <c r="B19" s="291" t="s">
        <v>175</v>
      </c>
      <c r="C19" s="303">
        <v>51908075257</v>
      </c>
      <c r="D19" s="304">
        <v>63036.23</v>
      </c>
      <c r="E19" s="307"/>
    </row>
    <row r="20" spans="1:5" s="305" customFormat="1" ht="12.75">
      <c r="A20" s="308" t="s">
        <v>180</v>
      </c>
      <c r="B20" s="291" t="s">
        <v>109</v>
      </c>
      <c r="C20" s="309" t="s">
        <v>182</v>
      </c>
      <c r="D20" s="304">
        <v>6825196.14</v>
      </c>
      <c r="E20" s="297"/>
    </row>
    <row r="21" spans="1:6" s="305" customFormat="1" ht="12.75">
      <c r="A21" s="308" t="s">
        <v>180</v>
      </c>
      <c r="B21" s="291" t="s">
        <v>109</v>
      </c>
      <c r="C21" s="309" t="s">
        <v>335</v>
      </c>
      <c r="D21" s="304">
        <v>1050483.01</v>
      </c>
      <c r="E21" s="307"/>
      <c r="F21" s="291"/>
    </row>
    <row r="22" spans="1:4" s="305" customFormat="1" ht="12.75">
      <c r="A22" s="308" t="s">
        <v>179</v>
      </c>
      <c r="B22" s="291" t="s">
        <v>109</v>
      </c>
      <c r="C22" s="309" t="s">
        <v>336</v>
      </c>
      <c r="D22" s="304">
        <v>1125800.34</v>
      </c>
    </row>
    <row r="23" spans="1:7" s="305" customFormat="1" ht="12.75">
      <c r="A23" s="308" t="s">
        <v>418</v>
      </c>
      <c r="B23" s="291" t="s">
        <v>109</v>
      </c>
      <c r="C23" s="309" t="s">
        <v>419</v>
      </c>
      <c r="D23" s="304">
        <v>673615.97</v>
      </c>
      <c r="E23" s="297"/>
      <c r="G23" s="310"/>
    </row>
    <row r="24" spans="1:5" s="305" customFormat="1" ht="12.75">
      <c r="A24" s="308" t="s">
        <v>490</v>
      </c>
      <c r="B24" s="291" t="s">
        <v>175</v>
      </c>
      <c r="C24" s="303">
        <v>65501896472</v>
      </c>
      <c r="D24" s="304">
        <v>137582.96</v>
      </c>
      <c r="E24" s="297"/>
    </row>
    <row r="25" spans="1:5" s="305" customFormat="1" ht="12.75">
      <c r="A25" s="306" t="s">
        <v>491</v>
      </c>
      <c r="B25" s="291" t="s">
        <v>175</v>
      </c>
      <c r="C25" s="303">
        <v>65501928095</v>
      </c>
      <c r="D25" s="304">
        <v>593817.67</v>
      </c>
      <c r="E25" s="297"/>
    </row>
    <row r="26" spans="1:6" s="305" customFormat="1" ht="12.75">
      <c r="A26" s="306" t="s">
        <v>492</v>
      </c>
      <c r="B26" s="291" t="s">
        <v>175</v>
      </c>
      <c r="C26" s="303">
        <v>65502360378</v>
      </c>
      <c r="D26" s="304">
        <v>-126352.76</v>
      </c>
      <c r="E26" s="307" t="s">
        <v>23</v>
      </c>
      <c r="F26" s="291"/>
    </row>
    <row r="27" spans="1:6" s="305" customFormat="1" ht="12.75">
      <c r="A27" s="308" t="s">
        <v>179</v>
      </c>
      <c r="B27" s="291" t="s">
        <v>175</v>
      </c>
      <c r="C27" s="303">
        <v>65502468962</v>
      </c>
      <c r="D27" s="304">
        <v>209550940</v>
      </c>
      <c r="F27" s="304"/>
    </row>
    <row r="28" spans="1:7" s="305" customFormat="1" ht="12.75">
      <c r="A28" s="308" t="s">
        <v>147</v>
      </c>
      <c r="B28" s="291" t="s">
        <v>175</v>
      </c>
      <c r="C28" s="303">
        <v>65502468993</v>
      </c>
      <c r="D28" s="304">
        <v>-1937924.42</v>
      </c>
      <c r="E28" s="307" t="s">
        <v>26</v>
      </c>
      <c r="F28" s="304"/>
      <c r="G28" s="304"/>
    </row>
    <row r="29" spans="1:5" s="305" customFormat="1" ht="12.75">
      <c r="A29" s="308" t="s">
        <v>356</v>
      </c>
      <c r="B29" s="291" t="s">
        <v>175</v>
      </c>
      <c r="C29" s="303">
        <v>65502556058</v>
      </c>
      <c r="D29" s="304">
        <v>1300489.68</v>
      </c>
      <c r="E29" s="307"/>
    </row>
    <row r="30" spans="1:5" s="305" customFormat="1" ht="12.75">
      <c r="A30" s="308" t="s">
        <v>374</v>
      </c>
      <c r="B30" s="291" t="s">
        <v>175</v>
      </c>
      <c r="C30" s="303">
        <v>18000006683</v>
      </c>
      <c r="D30" s="304">
        <v>3902292.66</v>
      </c>
      <c r="E30" s="307"/>
    </row>
    <row r="31" spans="1:5" s="305" customFormat="1" ht="12.75">
      <c r="A31" s="308" t="s">
        <v>375</v>
      </c>
      <c r="B31" s="291" t="s">
        <v>175</v>
      </c>
      <c r="C31" s="303">
        <v>18000006666</v>
      </c>
      <c r="D31" s="304">
        <v>230084.4</v>
      </c>
      <c r="E31" s="307"/>
    </row>
    <row r="32" spans="1:5" s="305" customFormat="1" ht="12.75">
      <c r="A32" s="308" t="s">
        <v>408</v>
      </c>
      <c r="B32" s="291" t="s">
        <v>175</v>
      </c>
      <c r="C32" s="303">
        <v>18000006743</v>
      </c>
      <c r="D32" s="304">
        <v>29447899.49</v>
      </c>
      <c r="E32" s="307"/>
    </row>
    <row r="33" spans="1:5" s="305" customFormat="1" ht="12.75">
      <c r="A33" s="308" t="s">
        <v>434</v>
      </c>
      <c r="B33" s="291" t="s">
        <v>175</v>
      </c>
      <c r="C33" s="303">
        <v>18000007050</v>
      </c>
      <c r="D33" s="304">
        <v>12508243.66</v>
      </c>
      <c r="E33" s="307"/>
    </row>
    <row r="34" spans="1:5" s="305" customFormat="1" ht="12.75">
      <c r="A34" s="308" t="s">
        <v>435</v>
      </c>
      <c r="B34" s="291" t="s">
        <v>175</v>
      </c>
      <c r="C34" s="303">
        <v>18000007064</v>
      </c>
      <c r="D34" s="304">
        <v>7365590.56</v>
      </c>
      <c r="E34" s="307"/>
    </row>
    <row r="35" spans="1:5" s="305" customFormat="1" ht="12.75">
      <c r="A35" s="308" t="s">
        <v>436</v>
      </c>
      <c r="B35" s="291" t="s">
        <v>175</v>
      </c>
      <c r="C35" s="303">
        <v>18000007047</v>
      </c>
      <c r="D35" s="304">
        <v>105875.2</v>
      </c>
      <c r="E35" s="307"/>
    </row>
    <row r="36" spans="1:5" s="305" customFormat="1" ht="12.75">
      <c r="A36" s="308" t="s">
        <v>437</v>
      </c>
      <c r="B36" s="291" t="s">
        <v>175</v>
      </c>
      <c r="C36" s="303">
        <v>18000007033</v>
      </c>
      <c r="D36" s="304">
        <v>78993.49</v>
      </c>
      <c r="E36" s="307"/>
    </row>
    <row r="37" spans="1:5" s="305" customFormat="1" ht="12.75">
      <c r="A37" s="308" t="s">
        <v>438</v>
      </c>
      <c r="B37" s="291" t="s">
        <v>175</v>
      </c>
      <c r="C37" s="303">
        <v>18000007553</v>
      </c>
      <c r="D37" s="304">
        <v>2464713.76</v>
      </c>
      <c r="E37" s="307"/>
    </row>
    <row r="38" spans="1:5" s="305" customFormat="1" ht="12.75">
      <c r="A38" s="308" t="s">
        <v>445</v>
      </c>
      <c r="B38" s="291" t="s">
        <v>175</v>
      </c>
      <c r="C38" s="303">
        <v>18000008011</v>
      </c>
      <c r="D38" s="304">
        <v>4239328.86</v>
      </c>
      <c r="E38" s="307"/>
    </row>
    <row r="39" spans="1:5" s="305" customFormat="1" ht="12.75">
      <c r="A39" s="308" t="s">
        <v>461</v>
      </c>
      <c r="B39" s="291" t="s">
        <v>175</v>
      </c>
      <c r="C39" s="303">
        <v>18000008238</v>
      </c>
      <c r="D39" s="304">
        <v>1177554</v>
      </c>
      <c r="E39" s="307"/>
    </row>
    <row r="40" spans="1:5" s="305" customFormat="1" ht="12.75">
      <c r="A40" s="308" t="s">
        <v>515</v>
      </c>
      <c r="B40" s="291" t="s">
        <v>175</v>
      </c>
      <c r="C40" s="303">
        <v>18000008406</v>
      </c>
      <c r="D40" s="304">
        <v>32291768.8</v>
      </c>
      <c r="E40" s="307"/>
    </row>
    <row r="41" spans="1:5" s="305" customFormat="1" ht="12.75">
      <c r="A41" s="308" t="s">
        <v>516</v>
      </c>
      <c r="B41" s="291" t="s">
        <v>175</v>
      </c>
      <c r="C41" s="303">
        <v>18000008485</v>
      </c>
      <c r="D41" s="304">
        <v>15419402.32</v>
      </c>
      <c r="E41" s="307"/>
    </row>
    <row r="42" spans="3:5" s="305" customFormat="1" ht="6" customHeight="1">
      <c r="C42" s="297"/>
      <c r="D42" s="311"/>
      <c r="E42" s="297"/>
    </row>
    <row r="43" spans="1:5" s="305" customFormat="1" ht="12.75">
      <c r="A43" s="312" t="s">
        <v>131</v>
      </c>
      <c r="C43" s="297"/>
      <c r="D43" s="313">
        <f>SUM(D10:D42)</f>
        <v>330008740.39000005</v>
      </c>
      <c r="E43" s="297"/>
    </row>
    <row r="44" spans="1:5" s="305" customFormat="1" ht="14.25" customHeight="1">
      <c r="A44" s="306"/>
      <c r="C44" s="297"/>
      <c r="D44" s="314"/>
      <c r="E44" s="297"/>
    </row>
    <row r="45" spans="1:5" s="305" customFormat="1" ht="12.75">
      <c r="A45" s="315" t="s">
        <v>163</v>
      </c>
      <c r="C45" s="297"/>
      <c r="D45" s="314"/>
      <c r="E45" s="297"/>
    </row>
    <row r="46" spans="1:5" s="305" customFormat="1" ht="6.75" customHeight="1">
      <c r="A46" s="306"/>
      <c r="C46" s="297"/>
      <c r="D46" s="314"/>
      <c r="E46" s="297"/>
    </row>
    <row r="47" spans="1:5" s="305" customFormat="1" ht="12.75">
      <c r="A47" s="306" t="s">
        <v>151</v>
      </c>
      <c r="B47" s="291" t="s">
        <v>175</v>
      </c>
      <c r="C47" s="309" t="s">
        <v>225</v>
      </c>
      <c r="D47" s="304">
        <v>51879.32</v>
      </c>
      <c r="E47" s="297"/>
    </row>
    <row r="48" spans="1:5" s="305" customFormat="1" ht="12.75">
      <c r="A48" s="306" t="s">
        <v>462</v>
      </c>
      <c r="B48" s="291" t="s">
        <v>175</v>
      </c>
      <c r="C48" s="309" t="s">
        <v>225</v>
      </c>
      <c r="D48" s="304">
        <v>0</v>
      </c>
      <c r="E48" s="297"/>
    </row>
    <row r="49" spans="1:5" s="305" customFormat="1" ht="12.75">
      <c r="A49" s="306" t="s">
        <v>290</v>
      </c>
      <c r="B49" s="291" t="s">
        <v>175</v>
      </c>
      <c r="C49" s="303">
        <v>66501928095</v>
      </c>
      <c r="D49" s="304">
        <v>644.76</v>
      </c>
      <c r="E49" s="297"/>
    </row>
    <row r="50" spans="1:4" s="305" customFormat="1" ht="12.75">
      <c r="A50" s="306" t="s">
        <v>370</v>
      </c>
      <c r="B50" s="291" t="s">
        <v>349</v>
      </c>
      <c r="C50" s="309" t="s">
        <v>287</v>
      </c>
      <c r="D50" s="304">
        <v>6201364.03</v>
      </c>
    </row>
    <row r="51" spans="1:5" s="305" customFormat="1" ht="9" customHeight="1">
      <c r="A51" s="306"/>
      <c r="C51" s="297"/>
      <c r="D51" s="314"/>
      <c r="E51" s="297"/>
    </row>
    <row r="52" spans="1:5" s="305" customFormat="1" ht="12.75">
      <c r="A52" s="312" t="s">
        <v>153</v>
      </c>
      <c r="C52" s="297"/>
      <c r="D52" s="316">
        <f>SUM(D47:D51)</f>
        <v>6253888.11</v>
      </c>
      <c r="E52" s="297"/>
    </row>
    <row r="53" spans="1:5" s="305" customFormat="1" ht="15.75" customHeight="1">
      <c r="A53" s="306"/>
      <c r="C53" s="297"/>
      <c r="E53" s="297"/>
    </row>
    <row r="54" spans="1:5" s="305" customFormat="1" ht="12.75">
      <c r="A54" s="315" t="s">
        <v>154</v>
      </c>
      <c r="C54" s="297"/>
      <c r="D54" s="317"/>
      <c r="E54" s="297"/>
    </row>
    <row r="55" spans="1:4" s="305" customFormat="1" ht="6.75" customHeight="1">
      <c r="A55" s="318"/>
      <c r="B55" s="295"/>
      <c r="C55" s="295"/>
      <c r="D55" s="301"/>
    </row>
    <row r="56" spans="1:5" s="305" customFormat="1" ht="12.75">
      <c r="A56" s="308" t="s">
        <v>152</v>
      </c>
      <c r="B56" s="291" t="s">
        <v>175</v>
      </c>
      <c r="C56" s="303" t="s">
        <v>97</v>
      </c>
      <c r="D56" s="304">
        <v>16742.05</v>
      </c>
      <c r="E56" s="307" t="s">
        <v>223</v>
      </c>
    </row>
    <row r="57" spans="1:5" s="305" customFormat="1" ht="12.75">
      <c r="A57" s="308" t="s">
        <v>155</v>
      </c>
      <c r="B57" s="291" t="s">
        <v>175</v>
      </c>
      <c r="C57" s="303" t="s">
        <v>98</v>
      </c>
      <c r="D57" s="304">
        <v>888884.62</v>
      </c>
      <c r="E57" s="307" t="s">
        <v>224</v>
      </c>
    </row>
    <row r="58" spans="1:5" s="305" customFormat="1" ht="12.75">
      <c r="A58" s="306" t="s">
        <v>100</v>
      </c>
      <c r="B58" s="291" t="s">
        <v>175</v>
      </c>
      <c r="C58" s="303" t="s">
        <v>101</v>
      </c>
      <c r="D58" s="304">
        <v>20521464.98</v>
      </c>
      <c r="E58" s="297"/>
    </row>
    <row r="59" spans="1:5" s="305" customFormat="1" ht="12.75">
      <c r="A59" s="306" t="s">
        <v>148</v>
      </c>
      <c r="B59" s="291" t="s">
        <v>178</v>
      </c>
      <c r="C59" s="303" t="s">
        <v>102</v>
      </c>
      <c r="D59" s="304">
        <v>2461973.68</v>
      </c>
      <c r="E59" s="297"/>
    </row>
    <row r="60" spans="1:5" s="305" customFormat="1" ht="12.75">
      <c r="A60" s="306" t="s">
        <v>286</v>
      </c>
      <c r="B60" s="291" t="s">
        <v>175</v>
      </c>
      <c r="C60" s="303" t="s">
        <v>285</v>
      </c>
      <c r="D60" s="304">
        <v>9772</v>
      </c>
      <c r="E60" s="307"/>
    </row>
    <row r="61" spans="1:5" s="305" customFormat="1" ht="12.75">
      <c r="A61" s="306" t="s">
        <v>219</v>
      </c>
      <c r="B61" s="291" t="s">
        <v>175</v>
      </c>
      <c r="C61" s="303">
        <v>82500274581</v>
      </c>
      <c r="D61" s="304">
        <v>1206528.57</v>
      </c>
      <c r="E61" s="307" t="s">
        <v>304</v>
      </c>
    </row>
    <row r="62" spans="1:6" ht="12.75">
      <c r="A62" s="306" t="s">
        <v>246</v>
      </c>
      <c r="B62" s="291" t="s">
        <v>175</v>
      </c>
      <c r="C62" s="303" t="s">
        <v>247</v>
      </c>
      <c r="D62" s="304">
        <v>58299252.52</v>
      </c>
      <c r="E62" s="307" t="s">
        <v>378</v>
      </c>
      <c r="F62" s="294"/>
    </row>
    <row r="63" spans="1:5" ht="12.75">
      <c r="A63" s="306" t="s">
        <v>245</v>
      </c>
      <c r="B63" s="291" t="s">
        <v>175</v>
      </c>
      <c r="C63" s="303" t="s">
        <v>248</v>
      </c>
      <c r="D63" s="304">
        <v>3093163.46</v>
      </c>
      <c r="E63" s="297"/>
    </row>
    <row r="64" spans="1:5" ht="12.75">
      <c r="A64" s="306" t="s">
        <v>350</v>
      </c>
      <c r="B64" s="291" t="s">
        <v>349</v>
      </c>
      <c r="C64" s="303" t="s">
        <v>287</v>
      </c>
      <c r="D64" s="304">
        <v>67310.37</v>
      </c>
      <c r="E64" s="307"/>
    </row>
    <row r="65" spans="1:5" ht="12.75">
      <c r="A65" s="306" t="s">
        <v>296</v>
      </c>
      <c r="B65" s="291" t="s">
        <v>175</v>
      </c>
      <c r="C65" s="303" t="s">
        <v>297</v>
      </c>
      <c r="D65" s="304">
        <v>13447991.73</v>
      </c>
      <c r="E65" s="297"/>
    </row>
    <row r="66" spans="1:5" ht="12.75">
      <c r="A66" s="306" t="s">
        <v>303</v>
      </c>
      <c r="B66" s="291" t="s">
        <v>175</v>
      </c>
      <c r="C66" s="303" t="s">
        <v>299</v>
      </c>
      <c r="D66" s="304">
        <v>7630613.83</v>
      </c>
      <c r="E66" s="297"/>
    </row>
    <row r="67" spans="1:5" ht="12.75">
      <c r="A67" s="306" t="s">
        <v>426</v>
      </c>
      <c r="B67" s="291" t="s">
        <v>175</v>
      </c>
      <c r="C67" s="303" t="s">
        <v>433</v>
      </c>
      <c r="D67" s="304">
        <v>3153410.71</v>
      </c>
      <c r="E67" s="297"/>
    </row>
    <row r="68" spans="1:5" ht="9" customHeight="1">
      <c r="A68" s="306"/>
      <c r="B68" s="305"/>
      <c r="C68" s="305"/>
      <c r="D68" s="314"/>
      <c r="E68" s="297"/>
    </row>
    <row r="69" spans="1:5" ht="12.75">
      <c r="A69" s="315" t="s">
        <v>156</v>
      </c>
      <c r="B69" s="305"/>
      <c r="C69" s="297"/>
      <c r="D69" s="316">
        <f>SUM(D56:D68)</f>
        <v>110797108.52</v>
      </c>
      <c r="E69" s="297"/>
    </row>
    <row r="70" spans="1:5" ht="9" customHeight="1">
      <c r="A70" s="319"/>
      <c r="B70" s="320"/>
      <c r="C70" s="303"/>
      <c r="D70" s="321"/>
      <c r="E70" s="297"/>
    </row>
    <row r="71" spans="1:5" ht="13.5" thickBot="1">
      <c r="A71" s="312" t="s">
        <v>103</v>
      </c>
      <c r="B71" s="291"/>
      <c r="C71" s="307" t="s">
        <v>104</v>
      </c>
      <c r="D71" s="322">
        <f>SUM(D43+D52+D69)</f>
        <v>447059737.02000004</v>
      </c>
      <c r="E71" s="297"/>
    </row>
    <row r="72" spans="1:5" ht="17.25" customHeight="1" thickTop="1">
      <c r="A72" s="312"/>
      <c r="B72" s="291"/>
      <c r="C72" s="307"/>
      <c r="D72" s="323"/>
      <c r="E72" s="297"/>
    </row>
    <row r="73" ht="12.75">
      <c r="A73" s="324"/>
    </row>
    <row r="74" ht="12.75">
      <c r="A74" s="315" t="s">
        <v>365</v>
      </c>
    </row>
    <row r="75" spans="1:4" ht="12.75">
      <c r="A75" s="326"/>
      <c r="D75" s="327"/>
    </row>
    <row r="76" spans="1:5" ht="12.75">
      <c r="A76" s="326" t="s">
        <v>368</v>
      </c>
      <c r="B76" s="306" t="s">
        <v>176</v>
      </c>
      <c r="C76" s="309" t="s">
        <v>306</v>
      </c>
      <c r="D76" s="304">
        <v>647397622.9</v>
      </c>
      <c r="E76" s="307" t="s">
        <v>379</v>
      </c>
    </row>
    <row r="77" spans="1:5" ht="12.75">
      <c r="A77" s="306" t="s">
        <v>313</v>
      </c>
      <c r="B77" s="306" t="s">
        <v>176</v>
      </c>
      <c r="C77" s="309" t="s">
        <v>306</v>
      </c>
      <c r="D77" s="328">
        <v>38588.46</v>
      </c>
      <c r="E77" s="307" t="s">
        <v>379</v>
      </c>
    </row>
    <row r="78" spans="1:4" ht="13.5" thickBot="1">
      <c r="A78" s="326"/>
      <c r="D78" s="329">
        <f>SUM(D76:D77)</f>
        <v>647436211.36</v>
      </c>
    </row>
    <row r="79" spans="1:4" ht="7.5" customHeight="1" thickTop="1">
      <c r="A79" s="326"/>
      <c r="D79" s="330"/>
    </row>
    <row r="80" spans="1:4" ht="12.75">
      <c r="A80" s="326" t="s">
        <v>309</v>
      </c>
      <c r="C80" s="331">
        <v>598562637.34</v>
      </c>
      <c r="D80" s="327"/>
    </row>
    <row r="81" spans="1:4" ht="12.75">
      <c r="A81" s="326" t="s">
        <v>310</v>
      </c>
      <c r="C81" s="331">
        <f>46850167.44+3438160.97</f>
        <v>50288328.41</v>
      </c>
      <c r="D81" s="327"/>
    </row>
    <row r="82" spans="1:4" ht="12.75">
      <c r="A82" s="326" t="s">
        <v>311</v>
      </c>
      <c r="C82" s="332">
        <v>-1414754.39</v>
      </c>
      <c r="D82" s="327"/>
    </row>
    <row r="83" spans="1:6" s="325" customFormat="1" ht="13.5" thickBot="1">
      <c r="A83" s="326"/>
      <c r="B83" s="333"/>
      <c r="C83" s="334"/>
      <c r="D83" s="335">
        <f>C80+C81+C82</f>
        <v>647436211.36</v>
      </c>
      <c r="F83" s="298"/>
    </row>
    <row r="84" spans="1:6" s="325" customFormat="1" ht="13.5" thickTop="1">
      <c r="A84" s="298"/>
      <c r="B84" s="298"/>
      <c r="C84" s="298"/>
      <c r="D84" s="327"/>
      <c r="F84" s="298"/>
    </row>
    <row r="85" spans="1:6" s="325" customFormat="1" ht="12.75">
      <c r="A85" s="336" t="s">
        <v>28</v>
      </c>
      <c r="B85" s="298"/>
      <c r="C85" s="298"/>
      <c r="D85" s="298"/>
      <c r="F85" s="298"/>
    </row>
    <row r="86" spans="1:6" s="325" customFormat="1" ht="4.5" customHeight="1">
      <c r="A86" s="336"/>
      <c r="B86" s="298"/>
      <c r="C86" s="298"/>
      <c r="D86" s="298"/>
      <c r="F86" s="298"/>
    </row>
    <row r="87" spans="1:6" s="325" customFormat="1" ht="12.75">
      <c r="A87" s="324" t="s">
        <v>600</v>
      </c>
      <c r="B87" s="298"/>
      <c r="C87" s="298"/>
      <c r="D87" s="298"/>
      <c r="F87" s="298"/>
    </row>
    <row r="88" spans="1:6" s="325" customFormat="1" ht="12.75">
      <c r="A88" s="324" t="s">
        <v>601</v>
      </c>
      <c r="B88" s="298"/>
      <c r="C88" s="298"/>
      <c r="D88" s="298"/>
      <c r="F88" s="298"/>
    </row>
    <row r="89" spans="1:6" s="325" customFormat="1" ht="12.75">
      <c r="A89" s="337" t="s">
        <v>407</v>
      </c>
      <c r="B89" s="298"/>
      <c r="C89" s="298"/>
      <c r="D89" s="298"/>
      <c r="F89" s="298"/>
    </row>
    <row r="90" spans="1:6" s="325" customFormat="1" ht="12.75">
      <c r="A90" s="324" t="s">
        <v>650</v>
      </c>
      <c r="B90" s="298"/>
      <c r="C90" s="298"/>
      <c r="D90" s="298"/>
      <c r="F90" s="298"/>
    </row>
    <row r="91" spans="1:6" s="325" customFormat="1" ht="12.75">
      <c r="A91" s="337" t="s">
        <v>494</v>
      </c>
      <c r="B91" s="298"/>
      <c r="C91" s="298"/>
      <c r="D91" s="298"/>
      <c r="F91" s="298"/>
    </row>
    <row r="92" spans="1:6" s="325" customFormat="1" ht="12.75">
      <c r="A92" s="324" t="s">
        <v>631</v>
      </c>
      <c r="B92" s="298"/>
      <c r="C92" s="298"/>
      <c r="D92" s="331"/>
      <c r="F92" s="298"/>
    </row>
    <row r="93" spans="1:6" s="325" customFormat="1" ht="12.75">
      <c r="A93" s="324" t="s">
        <v>632</v>
      </c>
      <c r="B93" s="298"/>
      <c r="C93" s="298"/>
      <c r="D93" s="331"/>
      <c r="F93" s="298"/>
    </row>
    <row r="94" spans="1:6" s="325" customFormat="1" ht="12.75">
      <c r="A94" s="324" t="s">
        <v>633</v>
      </c>
      <c r="B94" s="298"/>
      <c r="C94" s="298"/>
      <c r="D94" s="331"/>
      <c r="F94" s="298"/>
    </row>
    <row r="95" spans="1:6" s="325" customFormat="1" ht="12.75">
      <c r="A95" s="324" t="s">
        <v>602</v>
      </c>
      <c r="B95" s="298"/>
      <c r="C95" s="298"/>
      <c r="D95" s="298"/>
      <c r="F95" s="298"/>
    </row>
    <row r="96" ht="12.75">
      <c r="A96" s="324" t="s">
        <v>603</v>
      </c>
    </row>
    <row r="97" ht="12.75">
      <c r="A97" s="324"/>
    </row>
  </sheetData>
  <sheetProtection/>
  <mergeCells count="3">
    <mergeCell ref="A2:D2"/>
    <mergeCell ref="A3:D3"/>
    <mergeCell ref="A4:D4"/>
  </mergeCells>
  <printOptions/>
  <pageMargins left="0.8661417322834646" right="0.7874015748031497" top="0.7874015748031497" bottom="0.7874015748031497" header="0" footer="0.3937007874015748"/>
  <pageSetup fitToHeight="2" horizontalDpi="600" verticalDpi="600" orientation="portrait" scale="95" r:id="rId1"/>
  <headerFooter alignWithMargins="0">
    <oddFooter>&amp;R&amp;P de &amp;N</oddFooter>
  </headerFooter>
  <rowBreaks count="1" manualBreakCount="1">
    <brk id="5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58">
      <selection activeCell="H93" sqref="H93"/>
    </sheetView>
  </sheetViews>
  <sheetFormatPr defaultColWidth="11.421875" defaultRowHeight="12.75"/>
  <cols>
    <col min="1" max="1" width="45.00390625" style="0" customWidth="1"/>
    <col min="2" max="2" width="16.421875" style="0" customWidth="1"/>
    <col min="3" max="3" width="12.7109375" style="0" customWidth="1"/>
    <col min="4" max="4" width="13.57421875" style="0" customWidth="1"/>
    <col min="5" max="5" width="3.28125" style="257" customWidth="1"/>
  </cols>
  <sheetData>
    <row r="1" spans="1:5" s="238" customFormat="1" ht="12.75">
      <c r="A1" s="202"/>
      <c r="B1" s="202"/>
      <c r="C1" s="215"/>
      <c r="D1" s="204" t="s">
        <v>18</v>
      </c>
      <c r="E1" s="215"/>
    </row>
    <row r="2" spans="1:5" s="238" customFormat="1" ht="12.75">
      <c r="A2" s="360" t="s">
        <v>260</v>
      </c>
      <c r="B2" s="360"/>
      <c r="C2" s="360"/>
      <c r="D2" s="360"/>
      <c r="E2" s="215"/>
    </row>
    <row r="3" spans="1:5" s="238" customFormat="1" ht="12.75">
      <c r="A3" s="360" t="s">
        <v>359</v>
      </c>
      <c r="B3" s="360"/>
      <c r="C3" s="360"/>
      <c r="D3" s="360"/>
      <c r="E3" s="215"/>
    </row>
    <row r="4" spans="1:5" s="238" customFormat="1" ht="12.75">
      <c r="A4" s="350" t="s">
        <v>465</v>
      </c>
      <c r="B4" s="360"/>
      <c r="C4" s="360"/>
      <c r="D4" s="360"/>
      <c r="E4" s="215"/>
    </row>
    <row r="5" spans="1:5" ht="18.75" customHeight="1">
      <c r="A5" s="81"/>
      <c r="B5" s="81"/>
      <c r="C5" s="81"/>
      <c r="D5" s="81"/>
      <c r="E5" s="3"/>
    </row>
    <row r="6" spans="1:5" ht="26.25" customHeight="1">
      <c r="A6" s="208" t="s">
        <v>164</v>
      </c>
      <c r="B6" s="208" t="s">
        <v>119</v>
      </c>
      <c r="C6" s="208" t="s">
        <v>94</v>
      </c>
      <c r="D6" s="209" t="s">
        <v>499</v>
      </c>
      <c r="E6" s="3"/>
    </row>
    <row r="7" spans="1:5" ht="16.5" customHeight="1">
      <c r="A7" s="2"/>
      <c r="B7" s="2"/>
      <c r="C7" s="2"/>
      <c r="D7" s="23"/>
      <c r="E7" s="3"/>
    </row>
    <row r="8" spans="1:5" ht="12.75">
      <c r="A8" s="67" t="s">
        <v>222</v>
      </c>
      <c r="B8" s="7"/>
      <c r="C8" s="68"/>
      <c r="D8" s="23"/>
      <c r="E8" s="3"/>
    </row>
    <row r="9" spans="1:5" ht="9" customHeight="1">
      <c r="A9" s="67"/>
      <c r="B9" s="7"/>
      <c r="C9" s="68"/>
      <c r="D9" s="23"/>
      <c r="E9" s="3"/>
    </row>
    <row r="10" spans="1:5" s="1" customFormat="1" ht="12.75">
      <c r="A10" s="229" t="s">
        <v>203</v>
      </c>
      <c r="B10" s="7"/>
      <c r="C10" s="68"/>
      <c r="D10" s="147">
        <v>189177</v>
      </c>
      <c r="E10" s="10" t="s">
        <v>22</v>
      </c>
    </row>
    <row r="11" spans="1:5" s="1" customFormat="1" ht="12.75">
      <c r="A11" s="41" t="s">
        <v>96</v>
      </c>
      <c r="B11" s="7" t="s">
        <v>175</v>
      </c>
      <c r="C11" s="68">
        <v>65500611562</v>
      </c>
      <c r="D11" s="147">
        <f>218430.83</f>
        <v>218430.83</v>
      </c>
      <c r="E11" s="10" t="s">
        <v>23</v>
      </c>
    </row>
    <row r="12" spans="1:5" s="1" customFormat="1" ht="12.75">
      <c r="A12" s="41" t="s">
        <v>197</v>
      </c>
      <c r="B12" s="7" t="s">
        <v>175</v>
      </c>
      <c r="C12" s="68">
        <v>65501752447</v>
      </c>
      <c r="D12" s="147">
        <v>8154.44</v>
      </c>
      <c r="E12" s="3"/>
    </row>
    <row r="13" spans="1:5" s="1" customFormat="1" ht="12.75">
      <c r="A13" s="38" t="s">
        <v>147</v>
      </c>
      <c r="B13" s="7" t="s">
        <v>175</v>
      </c>
      <c r="C13" s="68">
        <v>65501752433</v>
      </c>
      <c r="D13" s="147">
        <v>-560770.21</v>
      </c>
      <c r="E13" s="10" t="s">
        <v>26</v>
      </c>
    </row>
    <row r="14" spans="1:5" s="1" customFormat="1" ht="12.75">
      <c r="A14" s="41" t="s">
        <v>198</v>
      </c>
      <c r="B14" s="7" t="s">
        <v>175</v>
      </c>
      <c r="C14" s="68">
        <v>65501761036</v>
      </c>
      <c r="D14" s="147">
        <v>552261.91</v>
      </c>
      <c r="E14" s="3"/>
    </row>
    <row r="15" spans="1:5" s="1" customFormat="1" ht="12.75">
      <c r="A15" s="41" t="s">
        <v>243</v>
      </c>
      <c r="B15" s="7" t="s">
        <v>175</v>
      </c>
      <c r="C15" s="68">
        <v>65501790364</v>
      </c>
      <c r="D15" s="147">
        <v>53822.88</v>
      </c>
      <c r="E15" s="3"/>
    </row>
    <row r="16" spans="1:5" s="1" customFormat="1" ht="12.75">
      <c r="A16" s="38" t="s">
        <v>150</v>
      </c>
      <c r="B16" s="7" t="s">
        <v>176</v>
      </c>
      <c r="C16" s="68" t="s">
        <v>99</v>
      </c>
      <c r="D16" s="147">
        <v>291767.65</v>
      </c>
      <c r="E16" s="3"/>
    </row>
    <row r="17" spans="1:5" s="1" customFormat="1" ht="12.75">
      <c r="A17" s="38" t="s">
        <v>150</v>
      </c>
      <c r="B17" s="7" t="s">
        <v>176</v>
      </c>
      <c r="C17" s="68">
        <v>162537494</v>
      </c>
      <c r="D17" s="147">
        <v>287641.24</v>
      </c>
      <c r="E17" s="3"/>
    </row>
    <row r="18" spans="1:5" s="1" customFormat="1" ht="12.75">
      <c r="A18" s="38" t="s">
        <v>488</v>
      </c>
      <c r="B18" s="7" t="s">
        <v>177</v>
      </c>
      <c r="C18" s="68">
        <v>4031053267</v>
      </c>
      <c r="D18" s="147">
        <v>9982.61</v>
      </c>
      <c r="E18" s="10"/>
    </row>
    <row r="19" spans="1:5" s="1" customFormat="1" ht="12.75">
      <c r="A19" s="38" t="s">
        <v>489</v>
      </c>
      <c r="B19" s="7" t="s">
        <v>177</v>
      </c>
      <c r="C19" s="68">
        <v>4044248151</v>
      </c>
      <c r="D19" s="147">
        <v>427791.07</v>
      </c>
      <c r="E19" s="10"/>
    </row>
    <row r="20" spans="1:5" s="1" customFormat="1" ht="12.75">
      <c r="A20" s="38" t="s">
        <v>147</v>
      </c>
      <c r="B20" s="7" t="s">
        <v>175</v>
      </c>
      <c r="C20" s="68">
        <v>51908075257</v>
      </c>
      <c r="D20" s="147">
        <v>63036.23</v>
      </c>
      <c r="E20" s="10"/>
    </row>
    <row r="21" spans="1:5" s="1" customFormat="1" ht="12.75">
      <c r="A21" s="38" t="s">
        <v>180</v>
      </c>
      <c r="B21" s="7" t="s">
        <v>109</v>
      </c>
      <c r="C21" s="69" t="s">
        <v>182</v>
      </c>
      <c r="D21" s="147">
        <v>5826359.75</v>
      </c>
      <c r="E21" s="3"/>
    </row>
    <row r="22" spans="1:5" s="1" customFormat="1" ht="12.75">
      <c r="A22" s="38" t="s">
        <v>180</v>
      </c>
      <c r="B22" s="7" t="s">
        <v>109</v>
      </c>
      <c r="C22" s="69" t="s">
        <v>335</v>
      </c>
      <c r="D22" s="147">
        <v>3187439.54</v>
      </c>
      <c r="E22" s="10"/>
    </row>
    <row r="23" spans="1:4" s="1" customFormat="1" ht="12.75">
      <c r="A23" s="38" t="s">
        <v>179</v>
      </c>
      <c r="B23" s="7" t="s">
        <v>109</v>
      </c>
      <c r="C23" s="69" t="s">
        <v>336</v>
      </c>
      <c r="D23" s="147">
        <v>2323708.24</v>
      </c>
    </row>
    <row r="24" spans="1:7" s="1" customFormat="1" ht="12.75">
      <c r="A24" s="38" t="s">
        <v>418</v>
      </c>
      <c r="B24" s="7" t="s">
        <v>109</v>
      </c>
      <c r="C24" s="69" t="s">
        <v>419</v>
      </c>
      <c r="D24" s="147">
        <v>1743495.33</v>
      </c>
      <c r="E24" s="3"/>
      <c r="G24" s="263"/>
    </row>
    <row r="25" spans="1:5" s="1" customFormat="1" ht="12.75">
      <c r="A25" s="38" t="s">
        <v>490</v>
      </c>
      <c r="B25" s="7" t="s">
        <v>175</v>
      </c>
      <c r="C25" s="68">
        <v>65501896472</v>
      </c>
      <c r="D25" s="147">
        <v>137635.16</v>
      </c>
      <c r="E25" s="3"/>
    </row>
    <row r="26" spans="1:5" s="1" customFormat="1" ht="12.75">
      <c r="A26" s="41" t="s">
        <v>491</v>
      </c>
      <c r="B26" s="7" t="s">
        <v>175</v>
      </c>
      <c r="C26" s="68">
        <v>65501928095</v>
      </c>
      <c r="D26" s="147">
        <v>593869.87</v>
      </c>
      <c r="E26" s="3"/>
    </row>
    <row r="27" spans="1:5" s="1" customFormat="1" ht="12.75">
      <c r="A27" s="41" t="s">
        <v>492</v>
      </c>
      <c r="B27" s="7" t="s">
        <v>175</v>
      </c>
      <c r="C27" s="68">
        <v>65502360378</v>
      </c>
      <c r="D27" s="147">
        <v>-68831.93</v>
      </c>
      <c r="E27" s="10" t="s">
        <v>26</v>
      </c>
    </row>
    <row r="28" spans="1:4" s="1" customFormat="1" ht="12.75">
      <c r="A28" s="38" t="s">
        <v>179</v>
      </c>
      <c r="B28" s="7" t="s">
        <v>175</v>
      </c>
      <c r="C28" s="68">
        <v>65502468962</v>
      </c>
      <c r="D28" s="147">
        <v>12550834.51</v>
      </c>
    </row>
    <row r="29" spans="1:5" s="1" customFormat="1" ht="12.75">
      <c r="A29" s="38" t="s">
        <v>147</v>
      </c>
      <c r="B29" s="7" t="s">
        <v>175</v>
      </c>
      <c r="C29" s="68">
        <v>65502468993</v>
      </c>
      <c r="D29" s="147">
        <v>-9618619.47</v>
      </c>
      <c r="E29" s="10" t="s">
        <v>223</v>
      </c>
    </row>
    <row r="30" spans="1:5" s="1" customFormat="1" ht="12.75">
      <c r="A30" s="38" t="s">
        <v>348</v>
      </c>
      <c r="B30" s="7" t="s">
        <v>175</v>
      </c>
      <c r="C30" s="68">
        <v>65502558764</v>
      </c>
      <c r="D30" s="147">
        <v>46928.57</v>
      </c>
      <c r="E30" s="10"/>
    </row>
    <row r="31" spans="1:5" s="1" customFormat="1" ht="12.75">
      <c r="A31" s="38" t="s">
        <v>356</v>
      </c>
      <c r="B31" s="7" t="s">
        <v>175</v>
      </c>
      <c r="C31" s="68">
        <v>65502556058</v>
      </c>
      <c r="D31" s="147">
        <v>791999.36</v>
      </c>
      <c r="E31" s="10"/>
    </row>
    <row r="32" spans="1:5" s="1" customFormat="1" ht="12.75">
      <c r="A32" s="38" t="s">
        <v>355</v>
      </c>
      <c r="B32" s="7" t="s">
        <v>175</v>
      </c>
      <c r="C32" s="68">
        <v>18000006604</v>
      </c>
      <c r="D32" s="147">
        <v>1698368.5</v>
      </c>
      <c r="E32" s="10"/>
    </row>
    <row r="33" spans="1:5" s="1" customFormat="1" ht="12.75">
      <c r="A33" s="38" t="s">
        <v>374</v>
      </c>
      <c r="B33" s="7" t="s">
        <v>175</v>
      </c>
      <c r="C33" s="68">
        <v>18000006683</v>
      </c>
      <c r="D33" s="147">
        <v>17753011.41</v>
      </c>
      <c r="E33" s="10"/>
    </row>
    <row r="34" spans="1:5" s="1" customFormat="1" ht="12.75">
      <c r="A34" s="38" t="s">
        <v>375</v>
      </c>
      <c r="B34" s="7" t="s">
        <v>175</v>
      </c>
      <c r="C34" s="68">
        <v>18000006666</v>
      </c>
      <c r="D34" s="147">
        <v>229864.49</v>
      </c>
      <c r="E34" s="10"/>
    </row>
    <row r="35" spans="1:5" s="1" customFormat="1" ht="12.75">
      <c r="A35" s="38" t="s">
        <v>408</v>
      </c>
      <c r="B35" s="7" t="s">
        <v>175</v>
      </c>
      <c r="C35" s="68">
        <v>18000006743</v>
      </c>
      <c r="D35" s="147">
        <v>11543324.23</v>
      </c>
      <c r="E35" s="10"/>
    </row>
    <row r="36" spans="1:5" s="1" customFormat="1" ht="12.75">
      <c r="A36" s="38" t="s">
        <v>434</v>
      </c>
      <c r="B36" s="7" t="s">
        <v>175</v>
      </c>
      <c r="C36" s="68">
        <v>18000007050</v>
      </c>
      <c r="D36" s="147">
        <v>13050472.41</v>
      </c>
      <c r="E36" s="10"/>
    </row>
    <row r="37" spans="1:5" s="1" customFormat="1" ht="12.75">
      <c r="A37" s="38" t="s">
        <v>435</v>
      </c>
      <c r="B37" s="7" t="s">
        <v>175</v>
      </c>
      <c r="C37" s="68">
        <v>18000007064</v>
      </c>
      <c r="D37" s="147">
        <v>7358550.41</v>
      </c>
      <c r="E37" s="10"/>
    </row>
    <row r="38" spans="1:5" s="1" customFormat="1" ht="12.75">
      <c r="A38" s="38" t="s">
        <v>436</v>
      </c>
      <c r="B38" s="7" t="s">
        <v>175</v>
      </c>
      <c r="C38" s="68">
        <v>18000007047</v>
      </c>
      <c r="D38" s="147">
        <v>105797.27</v>
      </c>
      <c r="E38" s="10"/>
    </row>
    <row r="39" spans="1:5" s="1" customFormat="1" ht="12.75">
      <c r="A39" s="38" t="s">
        <v>437</v>
      </c>
      <c r="B39" s="7" t="s">
        <v>175</v>
      </c>
      <c r="C39" s="68">
        <v>18000007033</v>
      </c>
      <c r="D39" s="147">
        <v>78917.99</v>
      </c>
      <c r="E39" s="10"/>
    </row>
    <row r="40" spans="1:5" s="1" customFormat="1" ht="12.75">
      <c r="A40" s="38" t="s">
        <v>438</v>
      </c>
      <c r="B40" s="7" t="s">
        <v>175</v>
      </c>
      <c r="C40" s="68">
        <v>18000007553</v>
      </c>
      <c r="D40" s="147">
        <v>14168118.98</v>
      </c>
      <c r="E40" s="10"/>
    </row>
    <row r="41" spans="1:5" s="1" customFormat="1" ht="12.75">
      <c r="A41" s="38" t="s">
        <v>445</v>
      </c>
      <c r="B41" s="7" t="s">
        <v>175</v>
      </c>
      <c r="C41" s="68">
        <v>18000008011</v>
      </c>
      <c r="D41" s="147">
        <v>82516343.7</v>
      </c>
      <c r="E41" s="10"/>
    </row>
    <row r="42" spans="1:5" s="1" customFormat="1" ht="12.75">
      <c r="A42" s="38" t="s">
        <v>461</v>
      </c>
      <c r="B42" s="7" t="s">
        <v>175</v>
      </c>
      <c r="C42" s="68">
        <v>18000008238</v>
      </c>
      <c r="D42" s="147">
        <v>80183965.2</v>
      </c>
      <c r="E42" s="10"/>
    </row>
    <row r="43" spans="3:5" s="1" customFormat="1" ht="6" customHeight="1">
      <c r="C43" s="3"/>
      <c r="D43" s="89"/>
      <c r="E43" s="3"/>
    </row>
    <row r="44" spans="1:5" s="1" customFormat="1" ht="12.75">
      <c r="A44" s="235" t="s">
        <v>131</v>
      </c>
      <c r="C44" s="3"/>
      <c r="D44" s="149">
        <f>SUM(D10:D43)</f>
        <v>247742849.16999996</v>
      </c>
      <c r="E44" s="3"/>
    </row>
    <row r="45" spans="1:5" s="1" customFormat="1" ht="14.25" customHeight="1">
      <c r="A45" s="41"/>
      <c r="C45" s="3"/>
      <c r="D45" s="88"/>
      <c r="E45" s="3"/>
    </row>
    <row r="46" spans="1:5" s="1" customFormat="1" ht="12.75">
      <c r="A46" s="73" t="s">
        <v>163</v>
      </c>
      <c r="C46" s="3"/>
      <c r="D46" s="88"/>
      <c r="E46" s="3"/>
    </row>
    <row r="47" spans="1:5" s="1" customFormat="1" ht="6.75" customHeight="1">
      <c r="A47" s="41"/>
      <c r="C47" s="3"/>
      <c r="D47" s="88"/>
      <c r="E47" s="3"/>
    </row>
    <row r="48" spans="1:5" s="1" customFormat="1" ht="12.75">
      <c r="A48" s="41" t="s">
        <v>151</v>
      </c>
      <c r="B48" s="7" t="s">
        <v>175</v>
      </c>
      <c r="C48" s="69" t="s">
        <v>225</v>
      </c>
      <c r="D48" s="147">
        <v>43938.38</v>
      </c>
      <c r="E48" s="3"/>
    </row>
    <row r="49" spans="1:5" s="1" customFormat="1" ht="12.75">
      <c r="A49" s="41" t="s">
        <v>462</v>
      </c>
      <c r="B49" s="7" t="s">
        <v>175</v>
      </c>
      <c r="C49" s="69" t="s">
        <v>225</v>
      </c>
      <c r="D49" s="147">
        <v>201500000</v>
      </c>
      <c r="E49" s="3"/>
    </row>
    <row r="50" spans="1:5" s="1" customFormat="1" ht="12.75">
      <c r="A50" s="41" t="s">
        <v>290</v>
      </c>
      <c r="B50" s="7" t="s">
        <v>175</v>
      </c>
      <c r="C50" s="68">
        <v>66501928095</v>
      </c>
      <c r="D50" s="147">
        <v>644.76</v>
      </c>
      <c r="E50" s="3"/>
    </row>
    <row r="51" spans="1:4" s="1" customFormat="1" ht="12.75">
      <c r="A51" s="41" t="s">
        <v>370</v>
      </c>
      <c r="B51" s="7" t="s">
        <v>349</v>
      </c>
      <c r="C51" s="69" t="s">
        <v>287</v>
      </c>
      <c r="D51" s="147">
        <v>6012754.55</v>
      </c>
    </row>
    <row r="52" spans="1:5" s="1" customFormat="1" ht="9" customHeight="1">
      <c r="A52" s="41"/>
      <c r="C52" s="3"/>
      <c r="D52" s="88"/>
      <c r="E52" s="3"/>
    </row>
    <row r="53" spans="1:5" s="1" customFormat="1" ht="12.75">
      <c r="A53" s="235" t="s">
        <v>153</v>
      </c>
      <c r="C53" s="3"/>
      <c r="D53" s="159">
        <f>SUM(D48:D52)</f>
        <v>207557337.69</v>
      </c>
      <c r="E53" s="3"/>
    </row>
    <row r="54" spans="1:5" s="1" customFormat="1" ht="12.75">
      <c r="A54" s="235"/>
      <c r="C54" s="3"/>
      <c r="D54" s="146"/>
      <c r="E54" s="3"/>
    </row>
    <row r="55" spans="1:5" s="1" customFormat="1" ht="12.75">
      <c r="A55" s="41"/>
      <c r="C55" s="3"/>
      <c r="E55" s="3"/>
    </row>
    <row r="56" spans="1:5" s="1" customFormat="1" ht="12.75">
      <c r="A56" s="73" t="s">
        <v>154</v>
      </c>
      <c r="C56" s="3"/>
      <c r="D56" s="22"/>
      <c r="E56" s="3"/>
    </row>
    <row r="57" spans="1:4" s="1" customFormat="1" ht="9" customHeight="1">
      <c r="A57" s="64"/>
      <c r="B57" s="2"/>
      <c r="C57" s="2"/>
      <c r="D57" s="23"/>
    </row>
    <row r="58" spans="1:5" s="1" customFormat="1" ht="12.75">
      <c r="A58" s="38" t="s">
        <v>152</v>
      </c>
      <c r="B58" s="7" t="s">
        <v>175</v>
      </c>
      <c r="C58" s="68" t="s">
        <v>97</v>
      </c>
      <c r="D58" s="147">
        <v>17218.49</v>
      </c>
      <c r="E58" s="10" t="s">
        <v>224</v>
      </c>
    </row>
    <row r="59" spans="1:5" s="1" customFormat="1" ht="12.75">
      <c r="A59" s="38" t="s">
        <v>155</v>
      </c>
      <c r="B59" s="7" t="s">
        <v>175</v>
      </c>
      <c r="C59" s="68" t="s">
        <v>98</v>
      </c>
      <c r="D59" s="147">
        <v>901283.99</v>
      </c>
      <c r="E59" s="10" t="s">
        <v>304</v>
      </c>
    </row>
    <row r="60" spans="1:5" s="1" customFormat="1" ht="12.75">
      <c r="A60" s="41" t="s">
        <v>100</v>
      </c>
      <c r="B60" s="7" t="s">
        <v>175</v>
      </c>
      <c r="C60" s="68" t="s">
        <v>101</v>
      </c>
      <c r="D60" s="147">
        <v>24252900.12</v>
      </c>
      <c r="E60" s="3"/>
    </row>
    <row r="61" spans="1:5" s="1" customFormat="1" ht="12.75">
      <c r="A61" s="41" t="s">
        <v>148</v>
      </c>
      <c r="B61" s="7" t="s">
        <v>178</v>
      </c>
      <c r="C61" s="68" t="s">
        <v>102</v>
      </c>
      <c r="D61" s="147">
        <v>2454703.8</v>
      </c>
      <c r="E61" s="3"/>
    </row>
    <row r="62" spans="1:5" s="1" customFormat="1" ht="12.75">
      <c r="A62" s="41" t="s">
        <v>649</v>
      </c>
      <c r="B62" s="7" t="s">
        <v>175</v>
      </c>
      <c r="C62" s="68" t="s">
        <v>285</v>
      </c>
      <c r="D62" s="147">
        <v>9772</v>
      </c>
      <c r="E62" s="10"/>
    </row>
    <row r="63" spans="1:5" s="1" customFormat="1" ht="12.75">
      <c r="A63" s="41" t="s">
        <v>219</v>
      </c>
      <c r="B63" s="7" t="s">
        <v>175</v>
      </c>
      <c r="C63" s="68">
        <v>82500274581</v>
      </c>
      <c r="D63" s="147">
        <v>294460.24</v>
      </c>
      <c r="E63" s="10" t="s">
        <v>378</v>
      </c>
    </row>
    <row r="64" spans="1:5" ht="12.75">
      <c r="A64" s="41" t="s">
        <v>246</v>
      </c>
      <c r="B64" s="7" t="s">
        <v>175</v>
      </c>
      <c r="C64" s="68" t="s">
        <v>247</v>
      </c>
      <c r="D64" s="147">
        <v>9885467.06</v>
      </c>
      <c r="E64" s="10" t="s">
        <v>379</v>
      </c>
    </row>
    <row r="65" spans="1:5" ht="12.75">
      <c r="A65" s="41" t="s">
        <v>245</v>
      </c>
      <c r="B65" s="7" t="s">
        <v>175</v>
      </c>
      <c r="C65" s="68" t="s">
        <v>248</v>
      </c>
      <c r="D65" s="147">
        <v>3062791.59</v>
      </c>
      <c r="E65" s="3"/>
    </row>
    <row r="66" spans="1:5" ht="12.75">
      <c r="A66" s="41" t="s">
        <v>350</v>
      </c>
      <c r="B66" s="7" t="s">
        <v>349</v>
      </c>
      <c r="C66" s="68" t="s">
        <v>287</v>
      </c>
      <c r="D66" s="147">
        <v>-67500</v>
      </c>
      <c r="E66" s="10"/>
    </row>
    <row r="67" spans="1:5" ht="12.75">
      <c r="A67" s="41" t="s">
        <v>296</v>
      </c>
      <c r="B67" s="7" t="s">
        <v>175</v>
      </c>
      <c r="C67" s="68" t="s">
        <v>297</v>
      </c>
      <c r="D67" s="147">
        <v>13315972.23</v>
      </c>
      <c r="E67" s="3"/>
    </row>
    <row r="68" spans="1:5" ht="12.75">
      <c r="A68" s="41" t="s">
        <v>303</v>
      </c>
      <c r="B68" s="7" t="s">
        <v>175</v>
      </c>
      <c r="C68" s="68" t="s">
        <v>299</v>
      </c>
      <c r="D68" s="147">
        <v>6136708.5</v>
      </c>
      <c r="E68" s="3"/>
    </row>
    <row r="69" spans="1:5" ht="12.75">
      <c r="A69" s="41" t="s">
        <v>426</v>
      </c>
      <c r="B69" s="7" t="s">
        <v>175</v>
      </c>
      <c r="C69" s="68" t="s">
        <v>433</v>
      </c>
      <c r="D69" s="147">
        <v>5485443.28</v>
      </c>
      <c r="E69" s="3"/>
    </row>
    <row r="70" spans="1:5" ht="9" customHeight="1">
      <c r="A70" s="41"/>
      <c r="B70" s="1"/>
      <c r="C70" s="1"/>
      <c r="D70" s="88"/>
      <c r="E70" s="3"/>
    </row>
    <row r="71" spans="1:5" ht="12.75">
      <c r="A71" s="73" t="s">
        <v>156</v>
      </c>
      <c r="B71" s="1"/>
      <c r="C71" s="3"/>
      <c r="D71" s="159">
        <f>SUM(D58:D70)</f>
        <v>65749221.30000001</v>
      </c>
      <c r="E71" s="3"/>
    </row>
    <row r="72" spans="1:5" ht="9" customHeight="1">
      <c r="A72" s="230"/>
      <c r="B72" s="4"/>
      <c r="C72" s="68"/>
      <c r="D72" s="163"/>
      <c r="E72" s="3"/>
    </row>
    <row r="73" spans="1:5" ht="13.5" thickBot="1">
      <c r="A73" s="235" t="s">
        <v>103</v>
      </c>
      <c r="B73" s="7"/>
      <c r="C73" s="10" t="s">
        <v>104</v>
      </c>
      <c r="D73" s="237">
        <f>SUM(D44+D53+D71)</f>
        <v>521049408.15999997</v>
      </c>
      <c r="E73" s="3"/>
    </row>
    <row r="74" spans="1:5" ht="17.25" customHeight="1" thickTop="1">
      <c r="A74" s="235"/>
      <c r="B74" s="7"/>
      <c r="C74" s="10"/>
      <c r="D74" s="236"/>
      <c r="E74" s="3"/>
    </row>
    <row r="75" ht="12.75">
      <c r="A75" s="18"/>
    </row>
    <row r="76" ht="12.75">
      <c r="A76" s="73" t="s">
        <v>365</v>
      </c>
    </row>
    <row r="77" spans="1:4" ht="12.75">
      <c r="A77" s="189"/>
      <c r="D77" s="216"/>
    </row>
    <row r="78" spans="1:5" ht="12.75">
      <c r="A78" s="189" t="s">
        <v>368</v>
      </c>
      <c r="B78" s="41" t="s">
        <v>176</v>
      </c>
      <c r="C78" s="69" t="s">
        <v>306</v>
      </c>
      <c r="D78" s="217">
        <v>608632476.82</v>
      </c>
      <c r="E78" s="10" t="s">
        <v>409</v>
      </c>
    </row>
    <row r="79" spans="1:5" ht="12.75">
      <c r="A79" s="41" t="s">
        <v>313</v>
      </c>
      <c r="B79" s="41" t="s">
        <v>176</v>
      </c>
      <c r="C79" s="69" t="s">
        <v>306</v>
      </c>
      <c r="D79" s="218">
        <v>38546.7</v>
      </c>
      <c r="E79" s="10" t="s">
        <v>409</v>
      </c>
    </row>
    <row r="80" spans="1:4" ht="13.5" thickBot="1">
      <c r="A80" s="189"/>
      <c r="D80" s="221">
        <f>SUM(D78:D79)</f>
        <v>608671023.5200001</v>
      </c>
    </row>
    <row r="81" spans="1:4" ht="7.5" customHeight="1" thickTop="1">
      <c r="A81" s="189"/>
      <c r="D81" s="228"/>
    </row>
    <row r="82" spans="1:4" ht="12.75">
      <c r="A82" s="189" t="s">
        <v>309</v>
      </c>
      <c r="C82" s="184">
        <v>567361145.12</v>
      </c>
      <c r="D82" s="216"/>
    </row>
    <row r="83" spans="1:4" ht="12.75">
      <c r="A83" s="189" t="s">
        <v>310</v>
      </c>
      <c r="C83" s="184">
        <v>42541644</v>
      </c>
      <c r="D83" s="216"/>
    </row>
    <row r="84" spans="1:4" ht="12.75">
      <c r="A84" s="189" t="s">
        <v>311</v>
      </c>
      <c r="C84" s="194">
        <v>-1231765.6</v>
      </c>
      <c r="D84" s="216"/>
    </row>
    <row r="85" spans="1:6" s="257" customFormat="1" ht="13.5" thickBot="1">
      <c r="A85" s="189"/>
      <c r="B85" s="193"/>
      <c r="C85" s="191"/>
      <c r="D85" s="222">
        <f>C82+C83+C84</f>
        <v>608671023.52</v>
      </c>
      <c r="F85"/>
    </row>
    <row r="86" spans="1:6" s="257" customFormat="1" ht="13.5" thickTop="1">
      <c r="A86"/>
      <c r="B86"/>
      <c r="C86"/>
      <c r="D86" s="216"/>
      <c r="F86"/>
    </row>
    <row r="87" spans="1:6" s="257" customFormat="1" ht="12.75">
      <c r="A87" s="8" t="s">
        <v>28</v>
      </c>
      <c r="B87"/>
      <c r="C87"/>
      <c r="D87"/>
      <c r="F87"/>
    </row>
    <row r="88" spans="1:6" s="257" customFormat="1" ht="4.5" customHeight="1">
      <c r="A88" s="8"/>
      <c r="B88"/>
      <c r="C88"/>
      <c r="D88"/>
      <c r="F88"/>
    </row>
    <row r="89" spans="1:6" s="257" customFormat="1" ht="12.75">
      <c r="A89" s="18" t="s">
        <v>404</v>
      </c>
      <c r="B89"/>
      <c r="C89"/>
      <c r="D89"/>
      <c r="F89"/>
    </row>
    <row r="90" spans="1:6" s="257" customFormat="1" ht="12.75">
      <c r="A90" s="19" t="s">
        <v>403</v>
      </c>
      <c r="B90"/>
      <c r="C90"/>
      <c r="D90"/>
      <c r="F90"/>
    </row>
    <row r="91" spans="1:6" s="257" customFormat="1" ht="12.75">
      <c r="A91" s="18" t="s">
        <v>405</v>
      </c>
      <c r="B91"/>
      <c r="C91"/>
      <c r="D91"/>
      <c r="F91"/>
    </row>
    <row r="92" spans="1:6" s="257" customFormat="1" ht="12.75">
      <c r="A92" s="18" t="s">
        <v>406</v>
      </c>
      <c r="B92"/>
      <c r="C92"/>
      <c r="D92"/>
      <c r="F92"/>
    </row>
    <row r="93" spans="1:6" s="257" customFormat="1" ht="12.75">
      <c r="A93" s="53" t="s">
        <v>407</v>
      </c>
      <c r="B93"/>
      <c r="C93"/>
      <c r="D93"/>
      <c r="F93"/>
    </row>
    <row r="94" spans="1:6" s="257" customFormat="1" ht="12.75">
      <c r="A94" s="18" t="s">
        <v>493</v>
      </c>
      <c r="B94"/>
      <c r="C94"/>
      <c r="D94"/>
      <c r="F94"/>
    </row>
    <row r="95" spans="1:6" s="257" customFormat="1" ht="12.75">
      <c r="A95" s="53" t="s">
        <v>494</v>
      </c>
      <c r="B95"/>
      <c r="C95"/>
      <c r="D95"/>
      <c r="F95"/>
    </row>
    <row r="96" spans="1:6" s="257" customFormat="1" ht="12.75">
      <c r="A96" s="18" t="s">
        <v>468</v>
      </c>
      <c r="B96"/>
      <c r="C96"/>
      <c r="D96" s="264"/>
      <c r="F96"/>
    </row>
    <row r="97" spans="1:6" s="257" customFormat="1" ht="12.75">
      <c r="A97" s="18" t="s">
        <v>469</v>
      </c>
      <c r="B97"/>
      <c r="C97"/>
      <c r="D97" s="264"/>
      <c r="F97"/>
    </row>
    <row r="98" spans="1:6" s="257" customFormat="1" ht="12.75">
      <c r="A98" s="18" t="s">
        <v>495</v>
      </c>
      <c r="B98"/>
      <c r="C98"/>
      <c r="D98" s="264"/>
      <c r="F98"/>
    </row>
    <row r="99" spans="1:6" s="257" customFormat="1" ht="12.75">
      <c r="A99" s="274" t="s">
        <v>470</v>
      </c>
      <c r="B99"/>
      <c r="C99"/>
      <c r="D99"/>
      <c r="F99"/>
    </row>
    <row r="100" spans="1:6" s="257" customFormat="1" ht="12.75">
      <c r="A100" s="18" t="s">
        <v>467</v>
      </c>
      <c r="B100"/>
      <c r="C100"/>
      <c r="D100"/>
      <c r="F100"/>
    </row>
    <row r="101" ht="12.75">
      <c r="A101" s="18" t="s">
        <v>466</v>
      </c>
    </row>
    <row r="102" ht="12.75">
      <c r="A102" s="18"/>
    </row>
  </sheetData>
  <sheetProtection/>
  <mergeCells count="3">
    <mergeCell ref="A2:D2"/>
    <mergeCell ref="A3:D3"/>
    <mergeCell ref="A4:D4"/>
  </mergeCells>
  <printOptions/>
  <pageMargins left="0.8661417322834646" right="0.7874015748031497" top="0.7874015748031497" bottom="0.7874015748031497" header="0" footer="0.3937007874015748"/>
  <pageSetup fitToHeight="2" horizontalDpi="600" verticalDpi="600" orientation="portrait" scale="95" r:id="rId1"/>
  <headerFooter alignWithMargins="0">
    <oddFooter>&amp;R&amp;P de &amp;N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F53" sqref="F53"/>
    </sheetView>
  </sheetViews>
  <sheetFormatPr defaultColWidth="11.421875" defaultRowHeight="12.75"/>
  <cols>
    <col min="1" max="1" width="48.28125" style="1" customWidth="1"/>
    <col min="2" max="2" width="13.8515625" style="1" customWidth="1"/>
    <col min="3" max="5" width="13.7109375" style="1" customWidth="1"/>
    <col min="6" max="6" width="8.140625" style="1" customWidth="1"/>
    <col min="7" max="7" width="3.00390625" style="1" customWidth="1"/>
    <col min="8" max="8" width="11.7109375" style="1" bestFit="1" customWidth="1"/>
    <col min="9" max="16384" width="11.421875" style="1" customWidth="1"/>
  </cols>
  <sheetData>
    <row r="1" spans="1:6" ht="12.75" customHeight="1">
      <c r="A1" s="281"/>
      <c r="B1" s="281"/>
      <c r="C1" s="281"/>
      <c r="D1" s="281"/>
      <c r="E1" s="354" t="s">
        <v>29</v>
      </c>
      <c r="F1" s="354"/>
    </row>
    <row r="2" spans="1:6" ht="13.5" customHeight="1">
      <c r="A2" s="351" t="s">
        <v>260</v>
      </c>
      <c r="B2" s="351"/>
      <c r="C2" s="351"/>
      <c r="D2" s="351"/>
      <c r="E2" s="351"/>
      <c r="F2" s="351"/>
    </row>
    <row r="3" spans="1:6" ht="13.5" customHeight="1">
      <c r="A3" s="353" t="s">
        <v>359</v>
      </c>
      <c r="B3" s="353"/>
      <c r="C3" s="353"/>
      <c r="D3" s="353"/>
      <c r="E3" s="353"/>
      <c r="F3" s="353"/>
    </row>
    <row r="4" spans="1:6" ht="13.5" customHeight="1">
      <c r="A4" s="351" t="s">
        <v>392</v>
      </c>
      <c r="B4" s="351"/>
      <c r="C4" s="351"/>
      <c r="D4" s="351"/>
      <c r="E4" s="351"/>
      <c r="F4" s="351"/>
    </row>
    <row r="5" spans="1:6" ht="13.5" customHeight="1">
      <c r="A5" s="351" t="s">
        <v>508</v>
      </c>
      <c r="B5" s="351"/>
      <c r="C5" s="351"/>
      <c r="D5" s="351"/>
      <c r="E5" s="351"/>
      <c r="F5" s="351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1:6" ht="15.75" customHeight="1">
      <c r="A8" s="64"/>
      <c r="B8" s="64"/>
      <c r="C8" s="64"/>
      <c r="D8" s="178"/>
      <c r="E8" s="64"/>
      <c r="F8" s="2"/>
    </row>
    <row r="9" spans="1:7" ht="12.75">
      <c r="A9" s="8" t="s">
        <v>21</v>
      </c>
      <c r="B9" s="118"/>
      <c r="C9" s="117"/>
      <c r="D9" s="118"/>
      <c r="E9" s="117"/>
      <c r="F9" s="119"/>
      <c r="G9" s="9"/>
    </row>
    <row r="10" spans="2:7" ht="8.25" customHeight="1">
      <c r="B10" s="118"/>
      <c r="C10" s="117"/>
      <c r="D10" s="118"/>
      <c r="E10" s="117"/>
      <c r="F10" s="119"/>
      <c r="G10" s="9"/>
    </row>
    <row r="11" spans="1:7" ht="12.75">
      <c r="A11" s="41" t="s">
        <v>395</v>
      </c>
      <c r="B11" s="118">
        <v>167355000</v>
      </c>
      <c r="C11" s="117">
        <v>134230510</v>
      </c>
      <c r="D11" s="118">
        <v>345216000</v>
      </c>
      <c r="E11" s="117">
        <f>SUM(B11:D11)</f>
        <v>646801510</v>
      </c>
      <c r="F11" s="119">
        <f>E11/$E$53*100</f>
        <v>53.77752316201695</v>
      </c>
      <c r="G11" s="9"/>
    </row>
    <row r="12" spans="1:7" ht="12.75">
      <c r="A12" s="41" t="s">
        <v>396</v>
      </c>
      <c r="B12" s="118">
        <v>16274000</v>
      </c>
      <c r="C12" s="117">
        <v>8134888</v>
      </c>
      <c r="D12" s="118"/>
      <c r="E12" s="117">
        <f>SUM(B12:D12)</f>
        <v>24408888</v>
      </c>
      <c r="F12" s="119">
        <f>E12/$E$53*100</f>
        <v>2.0294472407448114</v>
      </c>
      <c r="G12" s="9"/>
    </row>
    <row r="13" spans="2:7" ht="7.5" customHeight="1">
      <c r="B13" s="118"/>
      <c r="C13" s="117"/>
      <c r="D13" s="118"/>
      <c r="E13" s="117"/>
      <c r="F13" s="119"/>
      <c r="G13" s="9"/>
    </row>
    <row r="14" spans="1:7" ht="12.75">
      <c r="A14" s="79" t="s">
        <v>393</v>
      </c>
      <c r="B14" s="130">
        <f>SUM(B11:B13)</f>
        <v>183629000</v>
      </c>
      <c r="C14" s="130">
        <f>SUM(C11:C13)</f>
        <v>142365398</v>
      </c>
      <c r="D14" s="130">
        <f>SUM(D11:D13)</f>
        <v>345216000</v>
      </c>
      <c r="E14" s="130">
        <f>SUM(E11:E13)</f>
        <v>671210398</v>
      </c>
      <c r="F14" s="130">
        <f>SUM(F11:F13)</f>
        <v>55.806970402761756</v>
      </c>
      <c r="G14" s="9"/>
    </row>
    <row r="15" spans="2:7" ht="18" customHeight="1">
      <c r="B15" s="118"/>
      <c r="C15" s="117"/>
      <c r="D15" s="118"/>
      <c r="E15" s="117"/>
      <c r="F15" s="119"/>
      <c r="G15" s="9"/>
    </row>
    <row r="16" spans="1:7" ht="12.75">
      <c r="A16" s="8" t="s">
        <v>279</v>
      </c>
      <c r="B16" s="118"/>
      <c r="C16" s="117"/>
      <c r="D16" s="118"/>
      <c r="E16" s="117"/>
      <c r="F16" s="119"/>
      <c r="G16" s="9"/>
    </row>
    <row r="17" spans="1:7" ht="7.5" customHeight="1">
      <c r="A17" s="8"/>
      <c r="B17" s="118"/>
      <c r="C17" s="117"/>
      <c r="D17" s="118"/>
      <c r="E17" s="117"/>
      <c r="F17" s="119"/>
      <c r="G17" s="9"/>
    </row>
    <row r="18" spans="1:7" ht="12.75">
      <c r="A18" s="41" t="s">
        <v>450</v>
      </c>
      <c r="B18" s="118">
        <f>555589.65+430411.51+300930.95+152624.86+778029.98+64842.19+105748.42+928663.82</f>
        <v>3316841.38</v>
      </c>
      <c r="C18" s="117">
        <f>1541269.6+860039.59+24980.6+217523.05</f>
        <v>2643812.84</v>
      </c>
      <c r="D18" s="118"/>
      <c r="E18" s="117">
        <f>SUM(B18:D18)</f>
        <v>5960654.22</v>
      </c>
      <c r="F18" s="119">
        <f>E18/$E$53*100</f>
        <v>0.49559132967519515</v>
      </c>
      <c r="G18" s="9"/>
    </row>
    <row r="19" spans="2:7" ht="5.25" customHeight="1">
      <c r="B19" s="118"/>
      <c r="C19" s="117"/>
      <c r="D19" s="118"/>
      <c r="G19" s="9"/>
    </row>
    <row r="20" spans="1:7" ht="12.75">
      <c r="A20" s="79" t="s">
        <v>394</v>
      </c>
      <c r="B20" s="130">
        <f>SUM(B18:B19)</f>
        <v>3316841.38</v>
      </c>
      <c r="C20" s="130">
        <f>SUM(C18:C19)</f>
        <v>2643812.84</v>
      </c>
      <c r="D20" s="130">
        <f>SUM(D18:D19)</f>
        <v>0</v>
      </c>
      <c r="E20" s="130">
        <f>SUM(E18:E19)</f>
        <v>5960654.22</v>
      </c>
      <c r="F20" s="130">
        <f>SUM(F18:F19)</f>
        <v>0.49559132967519515</v>
      </c>
      <c r="G20" s="9"/>
    </row>
    <row r="21" spans="1:7" ht="19.5" customHeight="1">
      <c r="A21" s="79"/>
      <c r="B21" s="127"/>
      <c r="C21" s="127"/>
      <c r="D21" s="127"/>
      <c r="E21" s="127"/>
      <c r="F21" s="127"/>
      <c r="G21" s="9"/>
    </row>
    <row r="22" spans="1:7" ht="12.75">
      <c r="A22" s="8" t="s">
        <v>458</v>
      </c>
      <c r="B22" s="127"/>
      <c r="C22" s="127"/>
      <c r="D22" s="127"/>
      <c r="E22" s="127"/>
      <c r="F22" s="127"/>
      <c r="G22" s="9"/>
    </row>
    <row r="23" spans="1:7" ht="8.25" customHeight="1">
      <c r="A23" s="79"/>
      <c r="B23" s="127"/>
      <c r="C23" s="127"/>
      <c r="D23" s="127"/>
      <c r="E23" s="127"/>
      <c r="F23" s="127"/>
      <c r="G23" s="9"/>
    </row>
    <row r="24" spans="1:7" ht="12.75">
      <c r="A24" s="41" t="s">
        <v>474</v>
      </c>
      <c r="B24" s="118"/>
      <c r="C24" s="118">
        <v>150000000</v>
      </c>
      <c r="D24" s="118"/>
      <c r="E24" s="117">
        <f>SUM(B24:D24)</f>
        <v>150000000</v>
      </c>
      <c r="F24" s="119">
        <f>E24/$E$53*100</f>
        <v>12.471567164867228</v>
      </c>
      <c r="G24" s="9"/>
    </row>
    <row r="25" spans="1:7" ht="12.75">
      <c r="A25" s="41" t="s">
        <v>501</v>
      </c>
      <c r="B25" s="118"/>
      <c r="C25" s="118"/>
      <c r="D25" s="118"/>
      <c r="E25" s="117"/>
      <c r="F25" s="119"/>
      <c r="G25" s="9"/>
    </row>
    <row r="26" spans="1:7" ht="12.75">
      <c r="A26" s="41" t="s">
        <v>502</v>
      </c>
      <c r="B26" s="118">
        <f>12748000+1177641</f>
        <v>13925641</v>
      </c>
      <c r="C26" s="118"/>
      <c r="D26" s="118"/>
      <c r="E26" s="117">
        <f>SUM(B26:D26)</f>
        <v>13925641</v>
      </c>
      <c r="F26" s="119">
        <f>E26/$E$53*100</f>
        <v>1.1578304469688587</v>
      </c>
      <c r="G26" s="9"/>
    </row>
    <row r="27" spans="1:7" ht="12.75">
      <c r="A27" s="41" t="s">
        <v>503</v>
      </c>
      <c r="B27" s="118"/>
      <c r="C27" s="118"/>
      <c r="D27" s="118"/>
      <c r="E27" s="117"/>
      <c r="F27" s="119"/>
      <c r="G27" s="9"/>
    </row>
    <row r="28" spans="1:7" ht="12.75">
      <c r="A28" s="41" t="s">
        <v>521</v>
      </c>
      <c r="B28" s="118">
        <f>15487000+2847440</f>
        <v>18334440</v>
      </c>
      <c r="C28" s="118"/>
      <c r="D28" s="118"/>
      <c r="E28" s="117">
        <f>SUM(B28:D28)</f>
        <v>18334440</v>
      </c>
      <c r="F28" s="119">
        <f>E28/$E$53*100</f>
        <v>1.5243946659348553</v>
      </c>
      <c r="G28" s="9"/>
    </row>
    <row r="29" spans="1:7" ht="12.75">
      <c r="A29" s="41" t="s">
        <v>524</v>
      </c>
      <c r="B29" s="118"/>
      <c r="C29" s="118"/>
      <c r="D29" s="118"/>
      <c r="E29" s="117"/>
      <c r="F29" s="119"/>
      <c r="G29" s="9"/>
    </row>
    <row r="30" spans="1:7" ht="12.75">
      <c r="A30" s="41" t="s">
        <v>525</v>
      </c>
      <c r="B30" s="118">
        <v>15410399</v>
      </c>
      <c r="C30" s="118"/>
      <c r="D30" s="118"/>
      <c r="E30" s="117">
        <f>SUM(B30:D30)</f>
        <v>15410399</v>
      </c>
      <c r="F30" s="119">
        <f>E30/$E$53*100</f>
        <v>1.2812788411060185</v>
      </c>
      <c r="G30" s="9"/>
    </row>
    <row r="31" spans="1:7" ht="12.75">
      <c r="A31" s="41" t="s">
        <v>522</v>
      </c>
      <c r="C31" s="118"/>
      <c r="E31" s="117"/>
      <c r="F31" s="119"/>
      <c r="G31" s="9"/>
    </row>
    <row r="32" spans="1:7" ht="12.75">
      <c r="A32" s="41" t="s">
        <v>523</v>
      </c>
      <c r="B32" s="118">
        <f>14555000+5202000+2435000+23520400+5183517</f>
        <v>50895917</v>
      </c>
      <c r="C32" s="118">
        <v>5817664</v>
      </c>
      <c r="D32" s="118"/>
      <c r="E32" s="117">
        <f>SUM(B32:D32)</f>
        <v>56713581</v>
      </c>
      <c r="F32" s="119">
        <f>E32/$E$53*100</f>
        <v>4.715381564010919</v>
      </c>
      <c r="G32" s="9"/>
    </row>
    <row r="33" spans="2:7" ht="4.5" customHeight="1">
      <c r="B33" s="127"/>
      <c r="C33" s="127"/>
      <c r="D33" s="127"/>
      <c r="E33" s="127"/>
      <c r="F33" s="127"/>
      <c r="G33" s="9"/>
    </row>
    <row r="34" spans="1:7" ht="12.75" customHeight="1">
      <c r="A34" s="8" t="s">
        <v>459</v>
      </c>
      <c r="B34" s="282">
        <f>SUM(B24:B33)</f>
        <v>98566397</v>
      </c>
      <c r="C34" s="282">
        <f>SUM(C24:C33)</f>
        <v>155817664</v>
      </c>
      <c r="D34" s="282">
        <f>SUM(D24:D33)</f>
        <v>0</v>
      </c>
      <c r="E34" s="282">
        <f>SUM(E24:E33)</f>
        <v>254384061</v>
      </c>
      <c r="F34" s="282">
        <f>SUM(F24:F33)</f>
        <v>21.150452682887877</v>
      </c>
      <c r="G34" s="9"/>
    </row>
    <row r="35" spans="2:7" ht="8.25" customHeight="1">
      <c r="B35" s="117"/>
      <c r="C35" s="117"/>
      <c r="D35" s="118"/>
      <c r="E35" s="117"/>
      <c r="F35" s="258"/>
      <c r="G35" s="14"/>
    </row>
    <row r="36" spans="1:7" ht="12.75">
      <c r="A36" s="79" t="s">
        <v>24</v>
      </c>
      <c r="B36" s="130">
        <f>+B14+B20+B34</f>
        <v>285512238.38</v>
      </c>
      <c r="C36" s="130">
        <f>C14+C20+C34</f>
        <v>300826874.84000003</v>
      </c>
      <c r="D36" s="130">
        <f>+D14+D20+D34</f>
        <v>345216000</v>
      </c>
      <c r="E36" s="130">
        <f>+E14+E20+E34</f>
        <v>931555113.22</v>
      </c>
      <c r="F36" s="130">
        <f>+F14+F20+F34</f>
        <v>77.45301441532483</v>
      </c>
      <c r="G36" s="14"/>
    </row>
    <row r="37" spans="2:7" ht="18.75" customHeight="1">
      <c r="B37" s="118"/>
      <c r="C37" s="118"/>
      <c r="D37" s="118"/>
      <c r="E37" s="123"/>
      <c r="F37" s="124"/>
      <c r="G37" s="14"/>
    </row>
    <row r="38" spans="1:7" ht="12.75" customHeight="1">
      <c r="A38" s="8" t="s">
        <v>25</v>
      </c>
      <c r="B38" s="118"/>
      <c r="C38" s="117"/>
      <c r="D38" s="118"/>
      <c r="E38" s="117"/>
      <c r="F38" s="119"/>
      <c r="G38" s="14"/>
    </row>
    <row r="39" spans="2:7" ht="8.25" customHeight="1">
      <c r="B39" s="118"/>
      <c r="C39" s="117"/>
      <c r="D39" s="118"/>
      <c r="E39" s="117"/>
      <c r="F39" s="119"/>
      <c r="G39" s="14"/>
    </row>
    <row r="40" spans="1:7" ht="12.75" customHeight="1">
      <c r="A40" s="41" t="s">
        <v>397</v>
      </c>
      <c r="B40" s="118">
        <v>29342630</v>
      </c>
      <c r="C40" s="117">
        <v>32973853</v>
      </c>
      <c r="D40" s="118">
        <v>32309532</v>
      </c>
      <c r="E40" s="117">
        <f>SUM(B40:D40)</f>
        <v>94626015</v>
      </c>
      <c r="F40" s="119">
        <f>E40/$E$53*100</f>
        <v>7.867564677441559</v>
      </c>
      <c r="G40" s="14"/>
    </row>
    <row r="41" spans="1:7" ht="12.75" customHeight="1">
      <c r="A41" s="41" t="s">
        <v>398</v>
      </c>
      <c r="B41" s="118">
        <v>44143098</v>
      </c>
      <c r="C41" s="117">
        <v>40511874</v>
      </c>
      <c r="D41" s="118">
        <v>52904356</v>
      </c>
      <c r="E41" s="117">
        <f>SUM(B41:D41)</f>
        <v>137559328</v>
      </c>
      <c r="F41" s="119">
        <f>E41/$E$53*100</f>
        <v>11.43720265537334</v>
      </c>
      <c r="G41" s="14"/>
    </row>
    <row r="42" spans="1:7" ht="12.75" customHeight="1">
      <c r="A42" s="41" t="s">
        <v>399</v>
      </c>
      <c r="B42" s="118">
        <v>12500000</v>
      </c>
      <c r="C42" s="117">
        <v>12500000</v>
      </c>
      <c r="D42" s="118">
        <v>12500000</v>
      </c>
      <c r="E42" s="117">
        <f>SUM(B42:D42)</f>
        <v>37500000</v>
      </c>
      <c r="F42" s="119">
        <f>E42/$E$53*100</f>
        <v>3.117891791216807</v>
      </c>
      <c r="G42" s="14"/>
    </row>
    <row r="43" spans="2:7" ht="7.5" customHeight="1">
      <c r="B43" s="118"/>
      <c r="C43" s="117"/>
      <c r="D43" s="118"/>
      <c r="E43" s="117"/>
      <c r="F43" s="119"/>
      <c r="G43" s="14"/>
    </row>
    <row r="44" spans="1:7" ht="12.75" customHeight="1">
      <c r="A44" s="79" t="s">
        <v>422</v>
      </c>
      <c r="B44" s="130">
        <f>SUM(B40:B43)</f>
        <v>85985728</v>
      </c>
      <c r="C44" s="130">
        <f>SUM(C40:C43)</f>
        <v>85985727</v>
      </c>
      <c r="D44" s="130">
        <f>SUM(D40:D43)</f>
        <v>97713888</v>
      </c>
      <c r="E44" s="130">
        <f>SUM(E40:E43)</f>
        <v>269685343</v>
      </c>
      <c r="F44" s="130">
        <f>E44/$E$53*100</f>
        <v>22.422659124031703</v>
      </c>
      <c r="G44" s="14"/>
    </row>
    <row r="45" spans="1:7" ht="18.75" customHeight="1">
      <c r="A45" s="79"/>
      <c r="B45" s="127"/>
      <c r="C45" s="127"/>
      <c r="D45" s="127"/>
      <c r="E45" s="127"/>
      <c r="F45" s="127"/>
      <c r="G45" s="14"/>
    </row>
    <row r="46" spans="1:7" ht="12.75">
      <c r="A46" s="8" t="s">
        <v>447</v>
      </c>
      <c r="B46" s="118"/>
      <c r="C46" s="117"/>
      <c r="D46" s="118"/>
      <c r="E46" s="117"/>
      <c r="F46" s="119"/>
      <c r="G46" s="9"/>
    </row>
    <row r="47" spans="2:7" ht="6" customHeight="1">
      <c r="B47" s="118"/>
      <c r="C47" s="117"/>
      <c r="D47" s="118"/>
      <c r="E47" s="117"/>
      <c r="F47" s="119"/>
      <c r="G47" s="9"/>
    </row>
    <row r="48" spans="1:7" ht="12.75">
      <c r="A48" s="41" t="s">
        <v>526</v>
      </c>
      <c r="B48" s="118"/>
      <c r="C48" s="117"/>
      <c r="D48" s="118"/>
      <c r="E48" s="117"/>
      <c r="F48" s="119"/>
      <c r="G48" s="9"/>
    </row>
    <row r="49" spans="1:7" ht="12.75">
      <c r="A49" s="41" t="s">
        <v>527</v>
      </c>
      <c r="B49" s="118">
        <v>1495318.82</v>
      </c>
      <c r="C49" s="117"/>
      <c r="D49" s="118"/>
      <c r="E49" s="117">
        <f>SUM(B49:D49)</f>
        <v>1495318.82</v>
      </c>
      <c r="F49" s="119">
        <f>E49/$E$53*100</f>
        <v>0.12432646064346672</v>
      </c>
      <c r="G49" s="9"/>
    </row>
    <row r="50" spans="2:7" ht="7.5" customHeight="1">
      <c r="B50" s="118"/>
      <c r="C50" s="117"/>
      <c r="D50" s="118"/>
      <c r="E50" s="117"/>
      <c r="F50" s="119"/>
      <c r="G50" s="9"/>
    </row>
    <row r="51" spans="1:7" ht="12.75">
      <c r="A51" s="79" t="s">
        <v>422</v>
      </c>
      <c r="B51" s="130">
        <f>SUM(B48:B50)</f>
        <v>1495318.82</v>
      </c>
      <c r="C51" s="130">
        <f>SUM(C48:C50)</f>
        <v>0</v>
      </c>
      <c r="D51" s="130">
        <f>SUM(D48:D50)</f>
        <v>0</v>
      </c>
      <c r="E51" s="130">
        <f>SUM(E48:E50)</f>
        <v>1495318.82</v>
      </c>
      <c r="F51" s="130">
        <f>E51/$E$53*100</f>
        <v>0.12432646064346672</v>
      </c>
      <c r="G51" s="9"/>
    </row>
    <row r="52" spans="1:7" ht="9.75" customHeight="1">
      <c r="A52" s="79"/>
      <c r="B52" s="127"/>
      <c r="C52" s="127"/>
      <c r="D52" s="127"/>
      <c r="E52" s="127"/>
      <c r="F52" s="127"/>
      <c r="G52" s="9"/>
    </row>
    <row r="53" spans="1:6" ht="13.5" thickBot="1">
      <c r="A53" s="79" t="s">
        <v>158</v>
      </c>
      <c r="B53" s="259">
        <f>SUM(B36+B44+B51)</f>
        <v>372993285.2</v>
      </c>
      <c r="C53" s="259">
        <f>SUM(C36+C44+C51)</f>
        <v>386812601.84000003</v>
      </c>
      <c r="D53" s="259">
        <f>SUM(D36+D44+D51)</f>
        <v>442929888</v>
      </c>
      <c r="E53" s="259">
        <f>SUM(E36+E44+E51)</f>
        <v>1202735775.04</v>
      </c>
      <c r="F53" s="259">
        <f>SUM(F36+F44+F51)</f>
        <v>100.00000000000001</v>
      </c>
    </row>
    <row r="54" spans="1:5" ht="12.75" customHeight="1" thickTop="1">
      <c r="A54" s="11"/>
      <c r="B54" s="19"/>
      <c r="C54" s="19"/>
      <c r="D54" s="19"/>
      <c r="E54" s="145"/>
    </row>
    <row r="55" spans="1:5" ht="6" customHeight="1">
      <c r="A55" s="53"/>
      <c r="B55" s="19"/>
      <c r="C55" s="19"/>
      <c r="D55" s="19"/>
      <c r="E55" s="145"/>
    </row>
    <row r="56" spans="1:4" ht="12.75">
      <c r="A56" s="11"/>
      <c r="B56" s="11"/>
      <c r="C56" s="11"/>
      <c r="D56" s="11"/>
    </row>
    <row r="57" spans="1:6" ht="12.75">
      <c r="A57" s="11"/>
      <c r="B57" s="11"/>
      <c r="C57" s="11"/>
      <c r="D57" s="11"/>
      <c r="E57" s="11"/>
      <c r="F57" s="108"/>
    </row>
    <row r="58" spans="1:6" ht="12.75">
      <c r="A58" s="196"/>
      <c r="F58" s="145"/>
    </row>
    <row r="59" spans="1:6" ht="12.75">
      <c r="A59" s="196"/>
      <c r="F59" s="145"/>
    </row>
    <row r="60" spans="1:6" ht="12.75">
      <c r="A60" s="196"/>
      <c r="F60" s="145"/>
    </row>
    <row r="61" spans="1:6" ht="12.75">
      <c r="A61" s="196"/>
      <c r="F61" s="145"/>
    </row>
    <row r="62" ht="12.75">
      <c r="F62" s="145"/>
    </row>
    <row r="63" ht="12.75">
      <c r="F63" s="145"/>
    </row>
    <row r="64" ht="12.75">
      <c r="F64" s="145"/>
    </row>
    <row r="65" ht="12.75">
      <c r="F65" s="145"/>
    </row>
    <row r="66" ht="12.75">
      <c r="F66" s="108"/>
    </row>
    <row r="67" ht="12.75">
      <c r="F67" s="108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4724409448818898" top="0.7874015748031497" bottom="0.5905511811023623" header="0" footer="0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zoomScale="124" zoomScaleNormal="124" zoomScalePageLayoutView="0" workbookViewId="0" topLeftCell="A1">
      <selection activeCell="F72" sqref="F72"/>
    </sheetView>
  </sheetViews>
  <sheetFormatPr defaultColWidth="11.421875" defaultRowHeight="12.75"/>
  <cols>
    <col min="1" max="1" width="17.00390625" style="1" customWidth="1"/>
    <col min="2" max="6" width="13.421875" style="22" customWidth="1"/>
    <col min="7" max="7" width="14.421875" style="22" customWidth="1"/>
    <col min="8" max="16384" width="11.421875" style="1" customWidth="1"/>
  </cols>
  <sheetData>
    <row r="1" spans="1:7" ht="12.75" customHeight="1">
      <c r="A1" s="202"/>
      <c r="B1" s="203"/>
      <c r="C1" s="203"/>
      <c r="D1" s="203"/>
      <c r="E1" s="203"/>
      <c r="F1" s="203"/>
      <c r="G1" s="204" t="s">
        <v>402</v>
      </c>
    </row>
    <row r="2" spans="1:7" ht="12.75" customHeight="1">
      <c r="A2" s="351" t="s">
        <v>260</v>
      </c>
      <c r="B2" s="351"/>
      <c r="C2" s="351"/>
      <c r="D2" s="351"/>
      <c r="E2" s="351"/>
      <c r="F2" s="351"/>
      <c r="G2" s="351"/>
    </row>
    <row r="3" spans="1:7" ht="12.75" customHeight="1">
      <c r="A3" s="351" t="s">
        <v>359</v>
      </c>
      <c r="B3" s="351"/>
      <c r="C3" s="351"/>
      <c r="D3" s="351"/>
      <c r="E3" s="351"/>
      <c r="F3" s="351"/>
      <c r="G3" s="351"/>
    </row>
    <row r="4" spans="1:7" ht="12.75" customHeight="1">
      <c r="A4" s="351" t="s">
        <v>262</v>
      </c>
      <c r="B4" s="351"/>
      <c r="C4" s="351"/>
      <c r="D4" s="351"/>
      <c r="E4" s="351"/>
      <c r="F4" s="351"/>
      <c r="G4" s="351"/>
    </row>
    <row r="5" spans="1:8" ht="12.75" customHeight="1">
      <c r="A5" s="351" t="s">
        <v>508</v>
      </c>
      <c r="B5" s="351"/>
      <c r="C5" s="351"/>
      <c r="D5" s="351"/>
      <c r="E5" s="351"/>
      <c r="F5" s="351"/>
      <c r="G5" s="351"/>
      <c r="H5" s="35"/>
    </row>
    <row r="6" spans="1:8" ht="18.75" customHeight="1">
      <c r="A6" s="81"/>
      <c r="B6" s="81"/>
      <c r="C6" s="81"/>
      <c r="D6" s="81"/>
      <c r="E6" s="81"/>
      <c r="F6" s="81"/>
      <c r="G6" s="81"/>
      <c r="H6" s="35"/>
    </row>
    <row r="7" spans="1:7" ht="12.75">
      <c r="A7" s="197" t="s">
        <v>30</v>
      </c>
      <c r="B7" s="198" t="s">
        <v>31</v>
      </c>
      <c r="C7" s="198" t="s">
        <v>31</v>
      </c>
      <c r="D7" s="198" t="s">
        <v>31</v>
      </c>
      <c r="E7" s="198" t="s">
        <v>32</v>
      </c>
      <c r="F7" s="198" t="s">
        <v>32</v>
      </c>
      <c r="G7" s="198"/>
    </row>
    <row r="8" spans="1:7" ht="12.75">
      <c r="A8" s="2" t="s">
        <v>33</v>
      </c>
      <c r="B8" s="23" t="s">
        <v>133</v>
      </c>
      <c r="C8" s="23" t="s">
        <v>133</v>
      </c>
      <c r="D8" s="23" t="s">
        <v>133</v>
      </c>
      <c r="E8" s="23" t="s">
        <v>135</v>
      </c>
      <c r="F8" s="23" t="s">
        <v>135</v>
      </c>
      <c r="G8" s="23" t="s">
        <v>19</v>
      </c>
    </row>
    <row r="9" spans="1:7" ht="12.75">
      <c r="A9" s="77" t="s">
        <v>132</v>
      </c>
      <c r="B9" s="80" t="s">
        <v>134</v>
      </c>
      <c r="C9" s="80" t="s">
        <v>278</v>
      </c>
      <c r="D9" s="80" t="s">
        <v>451</v>
      </c>
      <c r="E9" s="80" t="s">
        <v>134</v>
      </c>
      <c r="F9" s="80" t="s">
        <v>451</v>
      </c>
      <c r="G9" s="80" t="s">
        <v>136</v>
      </c>
    </row>
    <row r="10" spans="1:7" ht="12" customHeight="1">
      <c r="A10" s="2"/>
      <c r="B10" s="23"/>
      <c r="C10" s="23"/>
      <c r="D10" s="23"/>
      <c r="E10" s="23"/>
      <c r="F10" s="23"/>
      <c r="G10" s="23"/>
    </row>
    <row r="11" spans="1:7" ht="12.75" customHeight="1">
      <c r="A11" s="247" t="s">
        <v>505</v>
      </c>
      <c r="D11" s="247"/>
      <c r="G11" s="23"/>
    </row>
    <row r="12" spans="1:7" ht="5.25" customHeight="1">
      <c r="A12" s="2"/>
      <c r="B12" s="23"/>
      <c r="C12" s="23"/>
      <c r="D12" s="23"/>
      <c r="E12" s="23"/>
      <c r="F12" s="23"/>
      <c r="G12" s="23"/>
    </row>
    <row r="13" spans="1:7" ht="12.75">
      <c r="A13" s="246">
        <v>40850</v>
      </c>
      <c r="B13" s="117"/>
      <c r="C13" s="117">
        <v>928663.82</v>
      </c>
      <c r="D13" s="117"/>
      <c r="E13" s="117"/>
      <c r="F13" s="117"/>
      <c r="G13" s="123">
        <f>SUM(B13:F13)</f>
        <v>928663.82</v>
      </c>
    </row>
    <row r="14" spans="1:7" ht="12.75">
      <c r="A14" s="246">
        <v>40856</v>
      </c>
      <c r="B14" s="117"/>
      <c r="C14" s="117">
        <v>105748.42</v>
      </c>
      <c r="D14" s="117"/>
      <c r="E14" s="117"/>
      <c r="F14" s="117"/>
      <c r="G14" s="123">
        <f aca="true" t="shared" si="0" ref="G14:G36">SUM(B14:F14)</f>
        <v>105748.42</v>
      </c>
    </row>
    <row r="15" spans="1:7" ht="12.75">
      <c r="A15" s="246">
        <v>40856</v>
      </c>
      <c r="B15" s="117"/>
      <c r="C15" s="117"/>
      <c r="D15" s="117"/>
      <c r="E15" s="117"/>
      <c r="F15" s="117">
        <v>1495318.82</v>
      </c>
      <c r="G15" s="123">
        <f t="shared" si="0"/>
        <v>1495318.82</v>
      </c>
    </row>
    <row r="16" spans="1:7" ht="12.75">
      <c r="A16" s="246">
        <v>40857</v>
      </c>
      <c r="B16" s="117">
        <v>167355000</v>
      </c>
      <c r="C16" s="117"/>
      <c r="D16" s="117"/>
      <c r="E16" s="117"/>
      <c r="F16" s="117"/>
      <c r="G16" s="123">
        <f t="shared" si="0"/>
        <v>167355000</v>
      </c>
    </row>
    <row r="17" spans="1:7" ht="12.75">
      <c r="A17" s="246">
        <v>40863</v>
      </c>
      <c r="B17" s="117">
        <v>16274000</v>
      </c>
      <c r="C17" s="117"/>
      <c r="D17" s="117"/>
      <c r="E17" s="117"/>
      <c r="F17" s="117"/>
      <c r="G17" s="123">
        <f t="shared" si="0"/>
        <v>16274000</v>
      </c>
    </row>
    <row r="18" spans="1:7" ht="12.75">
      <c r="A18" s="246">
        <v>40864</v>
      </c>
      <c r="C18" s="117">
        <v>152624.86</v>
      </c>
      <c r="D18" s="117"/>
      <c r="E18" s="117"/>
      <c r="F18" s="117"/>
      <c r="G18" s="123">
        <f t="shared" si="0"/>
        <v>152624.86</v>
      </c>
    </row>
    <row r="19" spans="1:7" ht="12.75">
      <c r="A19" s="246">
        <v>40864</v>
      </c>
      <c r="C19" s="117">
        <v>778029.98</v>
      </c>
      <c r="D19" s="117"/>
      <c r="E19" s="117"/>
      <c r="F19" s="117"/>
      <c r="G19" s="123">
        <f t="shared" si="0"/>
        <v>778029.98</v>
      </c>
    </row>
    <row r="20" spans="1:7" ht="12.75">
      <c r="A20" s="246">
        <v>40864</v>
      </c>
      <c r="C20" s="117">
        <v>64842.19</v>
      </c>
      <c r="D20" s="117"/>
      <c r="E20" s="117"/>
      <c r="F20" s="117"/>
      <c r="G20" s="123">
        <f t="shared" si="0"/>
        <v>64842.19</v>
      </c>
    </row>
    <row r="21" spans="1:7" ht="12.75">
      <c r="A21" s="246">
        <v>40870</v>
      </c>
      <c r="C21" s="117"/>
      <c r="D21" s="117">
        <v>15487000</v>
      </c>
      <c r="E21" s="117"/>
      <c r="F21" s="117"/>
      <c r="G21" s="123">
        <f t="shared" si="0"/>
        <v>15487000</v>
      </c>
    </row>
    <row r="22" spans="1:7" ht="12.75">
      <c r="A22" s="246">
        <v>40870</v>
      </c>
      <c r="C22" s="117"/>
      <c r="D22" s="117">
        <v>14555000</v>
      </c>
      <c r="E22" s="117"/>
      <c r="F22" s="117"/>
      <c r="G22" s="123">
        <f t="shared" si="0"/>
        <v>14555000</v>
      </c>
    </row>
    <row r="23" spans="1:7" ht="12.75">
      <c r="A23" s="246">
        <v>40870</v>
      </c>
      <c r="C23" s="117"/>
      <c r="D23" s="117">
        <v>5202000</v>
      </c>
      <c r="E23" s="117"/>
      <c r="F23" s="117"/>
      <c r="G23" s="123">
        <f t="shared" si="0"/>
        <v>5202000</v>
      </c>
    </row>
    <row r="24" spans="1:7" ht="12.75">
      <c r="A24" s="246">
        <v>40870</v>
      </c>
      <c r="C24" s="117"/>
      <c r="D24" s="117">
        <v>2435000</v>
      </c>
      <c r="E24" s="117"/>
      <c r="F24" s="117"/>
      <c r="G24" s="123">
        <f t="shared" si="0"/>
        <v>2435000</v>
      </c>
    </row>
    <row r="25" spans="1:7" ht="12.75">
      <c r="A25" s="246">
        <v>40870</v>
      </c>
      <c r="C25" s="117"/>
      <c r="D25" s="117">
        <v>12748000</v>
      </c>
      <c r="E25" s="117"/>
      <c r="F25" s="117"/>
      <c r="G25" s="123">
        <f t="shared" si="0"/>
        <v>12748000</v>
      </c>
    </row>
    <row r="26" spans="1:7" ht="12.75">
      <c r="A26" s="246">
        <v>40870</v>
      </c>
      <c r="C26" s="117"/>
      <c r="D26" s="117">
        <v>23520400</v>
      </c>
      <c r="E26" s="117"/>
      <c r="F26" s="117"/>
      <c r="G26" s="123">
        <f t="shared" si="0"/>
        <v>23520400</v>
      </c>
    </row>
    <row r="27" spans="1:7" ht="12.75">
      <c r="A27" s="246">
        <v>40870</v>
      </c>
      <c r="C27" s="117"/>
      <c r="D27" s="117">
        <v>5183517</v>
      </c>
      <c r="E27" s="117"/>
      <c r="F27" s="117"/>
      <c r="G27" s="123">
        <f t="shared" si="0"/>
        <v>5183517</v>
      </c>
    </row>
    <row r="28" spans="1:7" ht="12.75">
      <c r="A28" s="246">
        <v>40870</v>
      </c>
      <c r="C28" s="117"/>
      <c r="D28" s="117">
        <v>15410399</v>
      </c>
      <c r="E28" s="117"/>
      <c r="F28" s="117"/>
      <c r="G28" s="123">
        <f t="shared" si="0"/>
        <v>15410399</v>
      </c>
    </row>
    <row r="29" spans="1:7" ht="12.75">
      <c r="A29" s="246">
        <v>40871</v>
      </c>
      <c r="C29" s="117"/>
      <c r="D29" s="117">
        <v>1177641</v>
      </c>
      <c r="E29" s="117"/>
      <c r="F29" s="117"/>
      <c r="G29" s="123">
        <f t="shared" si="0"/>
        <v>1177641</v>
      </c>
    </row>
    <row r="30" spans="1:7" ht="12.75">
      <c r="A30" s="246">
        <v>40871</v>
      </c>
      <c r="C30" s="117"/>
      <c r="D30" s="117">
        <v>2847440</v>
      </c>
      <c r="E30" s="117"/>
      <c r="F30" s="117"/>
      <c r="G30" s="123">
        <f t="shared" si="0"/>
        <v>2847440</v>
      </c>
    </row>
    <row r="31" spans="1:7" ht="12.75">
      <c r="A31" s="246">
        <v>40871</v>
      </c>
      <c r="C31" s="117">
        <v>300930.95</v>
      </c>
      <c r="D31" s="117"/>
      <c r="E31" s="117"/>
      <c r="F31" s="117"/>
      <c r="G31" s="123">
        <f t="shared" si="0"/>
        <v>300930.95</v>
      </c>
    </row>
    <row r="32" spans="1:7" ht="12.75">
      <c r="A32" s="246">
        <v>40871</v>
      </c>
      <c r="C32" s="117"/>
      <c r="D32" s="117"/>
      <c r="E32" s="117">
        <v>44143098</v>
      </c>
      <c r="F32" s="117"/>
      <c r="G32" s="123">
        <f t="shared" si="0"/>
        <v>44143098</v>
      </c>
    </row>
    <row r="33" spans="1:7" ht="12.75">
      <c r="A33" s="246">
        <v>40875</v>
      </c>
      <c r="C33" s="117"/>
      <c r="D33" s="117"/>
      <c r="E33" s="117">
        <v>29342630</v>
      </c>
      <c r="F33" s="117"/>
      <c r="G33" s="123">
        <f t="shared" si="0"/>
        <v>29342630</v>
      </c>
    </row>
    <row r="34" spans="1:7" ht="12.75">
      <c r="A34" s="246">
        <v>40877</v>
      </c>
      <c r="C34" s="117"/>
      <c r="D34" s="117"/>
      <c r="E34" s="117">
        <v>12500000</v>
      </c>
      <c r="F34" s="117"/>
      <c r="G34" s="123">
        <f t="shared" si="0"/>
        <v>12500000</v>
      </c>
    </row>
    <row r="35" spans="1:7" ht="12.75">
      <c r="A35" s="246">
        <v>40877</v>
      </c>
      <c r="C35" s="117">
        <v>430411.51</v>
      </c>
      <c r="D35" s="117"/>
      <c r="E35" s="117"/>
      <c r="F35" s="117"/>
      <c r="G35" s="123">
        <f t="shared" si="0"/>
        <v>430411.51</v>
      </c>
    </row>
    <row r="36" spans="1:7" ht="12.75">
      <c r="A36" s="246">
        <v>40877</v>
      </c>
      <c r="C36" s="117">
        <v>555589.65</v>
      </c>
      <c r="D36" s="117"/>
      <c r="E36" s="117"/>
      <c r="F36" s="117"/>
      <c r="G36" s="123">
        <f t="shared" si="0"/>
        <v>555589.65</v>
      </c>
    </row>
    <row r="37" spans="1:7" ht="6" customHeight="1">
      <c r="A37" s="224"/>
      <c r="B37" s="120"/>
      <c r="C37" s="120"/>
      <c r="D37" s="120"/>
      <c r="E37" s="120"/>
      <c r="F37" s="120"/>
      <c r="G37" s="120"/>
    </row>
    <row r="38" spans="1:7" ht="12.75">
      <c r="A38" s="230" t="s">
        <v>383</v>
      </c>
      <c r="B38" s="128">
        <f aca="true" t="shared" si="1" ref="B38:G38">SUM(B13:B37)</f>
        <v>183629000</v>
      </c>
      <c r="C38" s="128">
        <f t="shared" si="1"/>
        <v>3316841.3800000004</v>
      </c>
      <c r="D38" s="128">
        <f t="shared" si="1"/>
        <v>98566397</v>
      </c>
      <c r="E38" s="128">
        <f t="shared" si="1"/>
        <v>85985728</v>
      </c>
      <c r="F38" s="128">
        <f t="shared" si="1"/>
        <v>1495318.82</v>
      </c>
      <c r="G38" s="128">
        <f t="shared" si="1"/>
        <v>372993285.2</v>
      </c>
    </row>
    <row r="39" spans="1:7" ht="16.5" customHeight="1">
      <c r="A39" s="220"/>
      <c r="B39" s="23"/>
      <c r="C39" s="23"/>
      <c r="D39" s="23"/>
      <c r="E39" s="23"/>
      <c r="F39" s="23"/>
      <c r="G39" s="23"/>
    </row>
    <row r="40" spans="1:7" ht="12.75">
      <c r="A40" s="247" t="s">
        <v>506</v>
      </c>
      <c r="B40" s="247"/>
      <c r="C40" s="247"/>
      <c r="D40" s="247"/>
      <c r="G40" s="23"/>
    </row>
    <row r="41" spans="1:7" ht="5.25" customHeight="1">
      <c r="A41" s="220"/>
      <c r="B41" s="23"/>
      <c r="C41" s="23"/>
      <c r="D41" s="23"/>
      <c r="E41" s="23"/>
      <c r="F41" s="23"/>
      <c r="G41" s="23"/>
    </row>
    <row r="42" spans="1:8" ht="12.75">
      <c r="A42" s="246">
        <v>40884</v>
      </c>
      <c r="B42" s="123">
        <v>134230510</v>
      </c>
      <c r="C42" s="123"/>
      <c r="D42" s="123"/>
      <c r="E42" s="123"/>
      <c r="F42" s="123"/>
      <c r="G42" s="123">
        <f aca="true" t="shared" si="2" ref="G42:G52">SUM(B42:E42)</f>
        <v>134230510</v>
      </c>
      <c r="H42" s="88"/>
    </row>
    <row r="43" spans="1:8" ht="12.75">
      <c r="A43" s="246">
        <v>40891</v>
      </c>
      <c r="B43" s="123">
        <v>8134888</v>
      </c>
      <c r="C43" s="123"/>
      <c r="D43" s="123"/>
      <c r="E43" s="123"/>
      <c r="F43" s="123"/>
      <c r="G43" s="123">
        <f t="shared" si="2"/>
        <v>8134888</v>
      </c>
      <c r="H43" s="88"/>
    </row>
    <row r="44" spans="1:8" ht="12.75">
      <c r="A44" s="246">
        <v>40891</v>
      </c>
      <c r="B44" s="123"/>
      <c r="D44" s="123">
        <v>5817664</v>
      </c>
      <c r="E44" s="123"/>
      <c r="F44" s="123"/>
      <c r="G44" s="123">
        <f>SUM(B44:E44)</f>
        <v>5817664</v>
      </c>
      <c r="H44" s="88"/>
    </row>
    <row r="45" spans="1:8" ht="12.75">
      <c r="A45" s="246">
        <v>40891</v>
      </c>
      <c r="B45" s="123"/>
      <c r="C45" s="123"/>
      <c r="D45" s="123"/>
      <c r="E45" s="123">
        <v>32973853</v>
      </c>
      <c r="F45" s="123"/>
      <c r="G45" s="123">
        <f t="shared" si="2"/>
        <v>32973853</v>
      </c>
      <c r="H45" s="88"/>
    </row>
    <row r="46" spans="1:8" ht="12.75">
      <c r="A46" s="246">
        <v>40891</v>
      </c>
      <c r="B46" s="123"/>
      <c r="C46" s="123"/>
      <c r="D46" s="123"/>
      <c r="E46" s="123">
        <v>40511874</v>
      </c>
      <c r="F46" s="123"/>
      <c r="G46" s="123">
        <f t="shared" si="2"/>
        <v>40511874</v>
      </c>
      <c r="H46" s="88"/>
    </row>
    <row r="47" spans="1:8" ht="12.75">
      <c r="A47" s="246">
        <v>40893</v>
      </c>
      <c r="B47" s="123"/>
      <c r="C47" s="123">
        <v>860039.59</v>
      </c>
      <c r="D47" s="123"/>
      <c r="E47" s="123"/>
      <c r="F47" s="123"/>
      <c r="G47" s="123">
        <f t="shared" si="2"/>
        <v>860039.59</v>
      </c>
      <c r="H47" s="88"/>
    </row>
    <row r="48" spans="1:8" ht="12.75">
      <c r="A48" s="246">
        <v>40893</v>
      </c>
      <c r="B48" s="123"/>
      <c r="C48" s="123">
        <v>1541269.6</v>
      </c>
      <c r="D48" s="123"/>
      <c r="E48" s="123"/>
      <c r="F48" s="123"/>
      <c r="G48" s="123">
        <f t="shared" si="2"/>
        <v>1541269.6</v>
      </c>
      <c r="H48" s="88"/>
    </row>
    <row r="49" spans="1:8" ht="12.75">
      <c r="A49" s="246">
        <v>40893</v>
      </c>
      <c r="B49" s="123"/>
      <c r="C49" s="123">
        <v>24980.6</v>
      </c>
      <c r="D49" s="123"/>
      <c r="E49" s="123"/>
      <c r="F49" s="123"/>
      <c r="G49" s="123">
        <f t="shared" si="2"/>
        <v>24980.6</v>
      </c>
      <c r="H49" s="88"/>
    </row>
    <row r="50" spans="1:8" ht="12.75">
      <c r="A50" s="246">
        <v>40893</v>
      </c>
      <c r="B50" s="123"/>
      <c r="C50" s="123">
        <v>217523.05</v>
      </c>
      <c r="D50" s="123"/>
      <c r="E50" s="123"/>
      <c r="F50" s="123"/>
      <c r="G50" s="123">
        <f t="shared" si="2"/>
        <v>217523.05</v>
      </c>
      <c r="H50" s="88"/>
    </row>
    <row r="51" spans="1:8" ht="12.75">
      <c r="A51" s="246">
        <v>40896</v>
      </c>
      <c r="B51" s="123"/>
      <c r="C51" s="123"/>
      <c r="D51" s="123"/>
      <c r="E51" s="123">
        <v>12500000</v>
      </c>
      <c r="F51" s="123"/>
      <c r="G51" s="123">
        <f t="shared" si="2"/>
        <v>12500000</v>
      </c>
      <c r="H51" s="88"/>
    </row>
    <row r="52" spans="1:8" ht="12.75">
      <c r="A52" s="246">
        <v>40907</v>
      </c>
      <c r="B52" s="123"/>
      <c r="C52" s="123"/>
      <c r="D52" s="123">
        <v>150000000</v>
      </c>
      <c r="E52" s="123"/>
      <c r="F52" s="123"/>
      <c r="G52" s="123">
        <f t="shared" si="2"/>
        <v>150000000</v>
      </c>
      <c r="H52" s="88"/>
    </row>
    <row r="53" spans="1:8" ht="6" customHeight="1">
      <c r="A53" s="224"/>
      <c r="B53" s="120"/>
      <c r="C53" s="120"/>
      <c r="D53" s="120"/>
      <c r="E53" s="120"/>
      <c r="F53" s="120"/>
      <c r="G53" s="120"/>
      <c r="H53" s="88"/>
    </row>
    <row r="54" spans="1:8" ht="12.75" customHeight="1">
      <c r="A54" s="230" t="s">
        <v>383</v>
      </c>
      <c r="B54" s="128">
        <f aca="true" t="shared" si="3" ref="B54:G54">SUM(B42:B53)</f>
        <v>142365398</v>
      </c>
      <c r="C54" s="128">
        <f t="shared" si="3"/>
        <v>2643812.84</v>
      </c>
      <c r="D54" s="128">
        <f t="shared" si="3"/>
        <v>155817664</v>
      </c>
      <c r="E54" s="128">
        <f t="shared" si="3"/>
        <v>85985727</v>
      </c>
      <c r="F54" s="128">
        <f t="shared" si="3"/>
        <v>0</v>
      </c>
      <c r="G54" s="128">
        <f t="shared" si="3"/>
        <v>386812601.84000003</v>
      </c>
      <c r="H54" s="88"/>
    </row>
    <row r="55" spans="1:8" ht="12.75" customHeight="1">
      <c r="A55" s="230"/>
      <c r="B55" s="146"/>
      <c r="C55" s="146"/>
      <c r="D55" s="146"/>
      <c r="E55" s="146"/>
      <c r="F55" s="146"/>
      <c r="G55" s="146"/>
      <c r="H55" s="88"/>
    </row>
    <row r="56" spans="1:8" ht="12.75" customHeight="1">
      <c r="A56" s="230"/>
      <c r="B56" s="146"/>
      <c r="C56" s="146"/>
      <c r="D56" s="146"/>
      <c r="E56" s="146"/>
      <c r="F56" s="146"/>
      <c r="G56" s="146"/>
      <c r="H56" s="88"/>
    </row>
    <row r="57" spans="1:8" ht="12.75" customHeight="1">
      <c r="A57" s="230"/>
      <c r="B57" s="146"/>
      <c r="C57" s="146"/>
      <c r="D57" s="146"/>
      <c r="E57" s="146"/>
      <c r="F57" s="146"/>
      <c r="G57" s="146"/>
      <c r="H57" s="88"/>
    </row>
    <row r="58" spans="1:8" ht="17.25" customHeight="1">
      <c r="A58" s="219"/>
      <c r="B58" s="146"/>
      <c r="C58" s="146"/>
      <c r="D58" s="146"/>
      <c r="E58" s="146"/>
      <c r="F58" s="146"/>
      <c r="G58" s="146"/>
      <c r="H58" s="88"/>
    </row>
    <row r="59" spans="1:8" ht="12.75" customHeight="1">
      <c r="A59" s="247" t="s">
        <v>507</v>
      </c>
      <c r="G59" s="146"/>
      <c r="H59" s="88"/>
    </row>
    <row r="60" spans="1:8" ht="5.25" customHeight="1">
      <c r="A60" s="219"/>
      <c r="B60" s="146"/>
      <c r="C60" s="146"/>
      <c r="D60" s="146"/>
      <c r="E60" s="146"/>
      <c r="F60" s="146"/>
      <c r="G60" s="146"/>
      <c r="H60" s="88"/>
    </row>
    <row r="61" spans="1:8" ht="12.75" customHeight="1">
      <c r="A61" s="289">
        <v>40920</v>
      </c>
      <c r="B61" s="117"/>
      <c r="C61" s="117"/>
      <c r="D61" s="117"/>
      <c r="E61" s="117">
        <v>52904356</v>
      </c>
      <c r="F61" s="117"/>
      <c r="G61" s="123">
        <f>SUM(B61:E61)</f>
        <v>52904356</v>
      </c>
      <c r="H61" s="88"/>
    </row>
    <row r="62" spans="1:8" ht="12.75" customHeight="1">
      <c r="A62" s="289">
        <v>40925</v>
      </c>
      <c r="C62" s="117"/>
      <c r="D62" s="117"/>
      <c r="E62" s="117">
        <v>32309532</v>
      </c>
      <c r="F62" s="117"/>
      <c r="G62" s="123">
        <f>SUM(B62:E62)</f>
        <v>32309532</v>
      </c>
      <c r="H62" s="88"/>
    </row>
    <row r="63" spans="1:8" ht="12.75" customHeight="1">
      <c r="A63" s="289">
        <v>40935</v>
      </c>
      <c r="B63" s="117">
        <v>345216000</v>
      </c>
      <c r="C63" s="117"/>
      <c r="D63" s="117"/>
      <c r="E63" s="117"/>
      <c r="F63" s="117"/>
      <c r="G63" s="123">
        <f>SUM(B63:E63)</f>
        <v>345216000</v>
      </c>
      <c r="H63" s="88"/>
    </row>
    <row r="64" spans="1:8" ht="12.75" customHeight="1">
      <c r="A64" s="289">
        <v>40939</v>
      </c>
      <c r="B64" s="289"/>
      <c r="D64" s="117"/>
      <c r="E64" s="117">
        <v>12500000</v>
      </c>
      <c r="F64" s="117"/>
      <c r="G64" s="123">
        <f>SUM(B64:E64)</f>
        <v>12500000</v>
      </c>
      <c r="H64" s="88"/>
    </row>
    <row r="65" spans="1:8" ht="6" customHeight="1">
      <c r="A65" s="224"/>
      <c r="B65" s="120"/>
      <c r="C65" s="120"/>
      <c r="D65" s="120"/>
      <c r="E65" s="120"/>
      <c r="F65" s="120"/>
      <c r="G65" s="120"/>
      <c r="H65" s="88"/>
    </row>
    <row r="66" spans="1:7" ht="12.75">
      <c r="A66" s="230" t="s">
        <v>383</v>
      </c>
      <c r="B66" s="128">
        <f aca="true" t="shared" si="4" ref="B66:G66">SUM(B61:B65)</f>
        <v>345216000</v>
      </c>
      <c r="C66" s="128">
        <f t="shared" si="4"/>
        <v>0</v>
      </c>
      <c r="D66" s="128">
        <f t="shared" si="4"/>
        <v>0</v>
      </c>
      <c r="E66" s="128">
        <f t="shared" si="4"/>
        <v>97713888</v>
      </c>
      <c r="F66" s="128">
        <f t="shared" si="4"/>
        <v>0</v>
      </c>
      <c r="G66" s="128">
        <f t="shared" si="4"/>
        <v>442929888</v>
      </c>
    </row>
    <row r="67" ht="6" customHeight="1">
      <c r="A67" s="225"/>
    </row>
    <row r="68" spans="1:7" ht="13.5" thickBot="1">
      <c r="A68" s="226" t="s">
        <v>19</v>
      </c>
      <c r="B68" s="231">
        <f aca="true" t="shared" si="5" ref="B68:G68">SUM(B38+B54+B66)</f>
        <v>671210398</v>
      </c>
      <c r="C68" s="231">
        <f t="shared" si="5"/>
        <v>5960654.220000001</v>
      </c>
      <c r="D68" s="231">
        <f t="shared" si="5"/>
        <v>254384061</v>
      </c>
      <c r="E68" s="231">
        <f t="shared" si="5"/>
        <v>269685343</v>
      </c>
      <c r="F68" s="231">
        <f t="shared" si="5"/>
        <v>1495318.82</v>
      </c>
      <c r="G68" s="231">
        <f t="shared" si="5"/>
        <v>1202735775.04</v>
      </c>
    </row>
    <row r="69" ht="13.5" thickTop="1"/>
  </sheetData>
  <sheetProtection/>
  <mergeCells count="4">
    <mergeCell ref="A2:G2"/>
    <mergeCell ref="A3:G3"/>
    <mergeCell ref="A4:G4"/>
    <mergeCell ref="A5:G5"/>
  </mergeCells>
  <printOptions/>
  <pageMargins left="0.8661417322834646" right="0.5905511811023623" top="0.7874015748031497" bottom="0.984251968503937" header="0" footer="0.3937007874015748"/>
  <pageSetup fitToHeight="2" horizontalDpi="600" verticalDpi="600" orientation="portrait" scale="90" r:id="rId1"/>
  <headerFooter alignWithMargins="0"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9">
      <selection activeCell="I23" sqref="I23"/>
    </sheetView>
  </sheetViews>
  <sheetFormatPr defaultColWidth="11.421875" defaultRowHeight="12.75"/>
  <cols>
    <col min="1" max="1" width="36.421875" style="1" customWidth="1"/>
    <col min="2" max="5" width="12.8515625" style="22" customWidth="1"/>
    <col min="6" max="6" width="6.57421875" style="1" customWidth="1"/>
    <col min="7" max="7" width="2.140625" style="1" customWidth="1"/>
    <col min="8" max="8" width="12.7109375" style="1" bestFit="1" customWidth="1"/>
    <col min="9" max="16384" width="11.421875" style="1" customWidth="1"/>
  </cols>
  <sheetData>
    <row r="1" spans="1:6" s="7" customFormat="1" ht="12.75" customHeight="1">
      <c r="A1" s="82"/>
      <c r="B1" s="83"/>
      <c r="C1" s="83"/>
      <c r="D1" s="83"/>
      <c r="E1" s="355" t="s">
        <v>5</v>
      </c>
      <c r="F1" s="355"/>
    </row>
    <row r="2" spans="1:6" s="7" customFormat="1" ht="12.75" customHeight="1">
      <c r="A2" s="351" t="s">
        <v>260</v>
      </c>
      <c r="B2" s="351"/>
      <c r="C2" s="351"/>
      <c r="D2" s="351"/>
      <c r="E2" s="351"/>
      <c r="F2" s="351"/>
    </row>
    <row r="3" spans="1:7" s="7" customFormat="1" ht="12.75" customHeight="1">
      <c r="A3" s="353" t="s">
        <v>359</v>
      </c>
      <c r="B3" s="353"/>
      <c r="C3" s="353"/>
      <c r="D3" s="353"/>
      <c r="E3" s="353"/>
      <c r="F3" s="353"/>
      <c r="G3" s="210"/>
    </row>
    <row r="4" spans="1:6" s="7" customFormat="1" ht="12.75" customHeight="1">
      <c r="A4" s="351" t="s">
        <v>263</v>
      </c>
      <c r="B4" s="351"/>
      <c r="C4" s="351"/>
      <c r="D4" s="351"/>
      <c r="E4" s="351"/>
      <c r="F4" s="351"/>
    </row>
    <row r="5" spans="1:7" s="7" customFormat="1" ht="12.75" customHeight="1">
      <c r="A5" s="351" t="s">
        <v>508</v>
      </c>
      <c r="B5" s="351"/>
      <c r="C5" s="351"/>
      <c r="D5" s="351"/>
      <c r="E5" s="351"/>
      <c r="F5" s="351"/>
      <c r="G5" s="210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1:6" ht="9" customHeight="1">
      <c r="A8" s="2"/>
      <c r="B8" s="23"/>
      <c r="C8" s="23"/>
      <c r="D8" s="23"/>
      <c r="E8" s="23"/>
      <c r="F8" s="2"/>
    </row>
    <row r="9" spans="1:8" ht="12.75">
      <c r="A9" s="7" t="s">
        <v>34</v>
      </c>
      <c r="B9" s="118">
        <v>4362395</v>
      </c>
      <c r="C9" s="123">
        <f>433387</f>
        <v>433387</v>
      </c>
      <c r="D9" s="123">
        <v>3748032</v>
      </c>
      <c r="E9" s="118">
        <f aca="true" t="shared" si="0" ref="E9:E34">SUM(B9:D9)</f>
        <v>8543814</v>
      </c>
      <c r="F9" s="124">
        <f aca="true" t="shared" si="1" ref="F9:F48">(E9/$E$71*100)</f>
        <v>20.276795201803203</v>
      </c>
      <c r="H9" s="7"/>
    </row>
    <row r="10" spans="1:8" ht="12.75">
      <c r="A10" s="7" t="s">
        <v>35</v>
      </c>
      <c r="B10" s="123">
        <v>5600</v>
      </c>
      <c r="C10" s="118">
        <v>1260</v>
      </c>
      <c r="D10" s="118">
        <v>950</v>
      </c>
      <c r="E10" s="118">
        <f t="shared" si="0"/>
        <v>7810</v>
      </c>
      <c r="F10" s="124">
        <f t="shared" si="1"/>
        <v>0.018535254925503175</v>
      </c>
      <c r="H10" s="7"/>
    </row>
    <row r="11" spans="1:8" ht="12.75">
      <c r="A11" s="7" t="s">
        <v>36</v>
      </c>
      <c r="B11" s="123">
        <v>2261608</v>
      </c>
      <c r="C11" s="118">
        <f>1759995</f>
        <v>1759995</v>
      </c>
      <c r="D11" s="118">
        <v>2398880</v>
      </c>
      <c r="E11" s="118">
        <f t="shared" si="0"/>
        <v>6420483</v>
      </c>
      <c r="F11" s="124">
        <f t="shared" si="1"/>
        <v>15.237553028151012</v>
      </c>
      <c r="H11" s="7"/>
    </row>
    <row r="12" spans="1:8" ht="12.75">
      <c r="A12" s="7" t="s">
        <v>37</v>
      </c>
      <c r="B12" s="118">
        <v>83052</v>
      </c>
      <c r="C12" s="118">
        <v>12413</v>
      </c>
      <c r="D12" s="118">
        <v>79811</v>
      </c>
      <c r="E12" s="118">
        <f t="shared" si="0"/>
        <v>175276</v>
      </c>
      <c r="F12" s="124">
        <f t="shared" si="1"/>
        <v>0.4159776366610109</v>
      </c>
      <c r="H12" s="7"/>
    </row>
    <row r="13" spans="1:8" ht="12.75">
      <c r="A13" s="7" t="s">
        <v>38</v>
      </c>
      <c r="B13" s="118">
        <v>13104</v>
      </c>
      <c r="C13" s="118">
        <v>1732</v>
      </c>
      <c r="D13" s="118">
        <v>10426</v>
      </c>
      <c r="E13" s="118">
        <f t="shared" si="0"/>
        <v>25262</v>
      </c>
      <c r="F13" s="124">
        <f t="shared" si="1"/>
        <v>0.059953599222543064</v>
      </c>
      <c r="H13" s="7"/>
    </row>
    <row r="14" spans="1:8" ht="12.75">
      <c r="A14" s="7" t="s">
        <v>562</v>
      </c>
      <c r="B14" s="118">
        <v>467114</v>
      </c>
      <c r="C14" s="118">
        <f>405157</f>
        <v>405157</v>
      </c>
      <c r="D14" s="118">
        <v>5947274</v>
      </c>
      <c r="E14" s="118">
        <f>SUM(B14:D14)</f>
        <v>6819545</v>
      </c>
      <c r="F14" s="124">
        <f t="shared" si="1"/>
        <v>16.18463572995398</v>
      </c>
      <c r="H14" s="7"/>
    </row>
    <row r="15" spans="1:6" ht="12.75">
      <c r="A15" s="6" t="s">
        <v>563</v>
      </c>
      <c r="B15" s="118"/>
      <c r="C15" s="118"/>
      <c r="D15" s="118">
        <v>1946479</v>
      </c>
      <c r="E15" s="118">
        <f t="shared" si="0"/>
        <v>1946479</v>
      </c>
      <c r="F15" s="124">
        <f t="shared" si="1"/>
        <v>4.619524260196991</v>
      </c>
    </row>
    <row r="16" spans="1:9" ht="12.75">
      <c r="A16" s="6" t="s">
        <v>39</v>
      </c>
      <c r="B16" s="118">
        <f>254121.2+999</f>
        <v>255120.2</v>
      </c>
      <c r="C16" s="118">
        <f>100378+1258</f>
        <v>101636</v>
      </c>
      <c r="D16" s="118">
        <v>113882</v>
      </c>
      <c r="E16" s="118">
        <f t="shared" si="0"/>
        <v>470638.2</v>
      </c>
      <c r="F16" s="124">
        <f t="shared" si="1"/>
        <v>1.1169524986786108</v>
      </c>
      <c r="H16" s="7"/>
      <c r="I16" s="118"/>
    </row>
    <row r="17" spans="1:6" ht="12.75">
      <c r="A17" s="7" t="s">
        <v>448</v>
      </c>
      <c r="B17" s="118">
        <v>40880</v>
      </c>
      <c r="C17" s="118">
        <v>140</v>
      </c>
      <c r="D17" s="118">
        <v>142</v>
      </c>
      <c r="E17" s="118">
        <f t="shared" si="0"/>
        <v>41162</v>
      </c>
      <c r="F17" s="124">
        <f t="shared" si="1"/>
        <v>0.09768862525525761</v>
      </c>
    </row>
    <row r="18" spans="1:8" ht="12.75">
      <c r="A18" s="6" t="s">
        <v>159</v>
      </c>
      <c r="B18" s="123">
        <f>528500+44400</f>
        <v>572900</v>
      </c>
      <c r="C18" s="118">
        <f>163150+57800</f>
        <v>220950</v>
      </c>
      <c r="D18" s="123"/>
      <c r="E18" s="118">
        <f t="shared" si="0"/>
        <v>793850</v>
      </c>
      <c r="F18" s="124">
        <f t="shared" si="1"/>
        <v>1.8840220387465683</v>
      </c>
      <c r="H18" s="6"/>
    </row>
    <row r="19" spans="1:8" ht="12.75">
      <c r="A19" s="6" t="s">
        <v>535</v>
      </c>
      <c r="B19" s="123"/>
      <c r="C19" s="118">
        <v>160</v>
      </c>
      <c r="D19" s="123"/>
      <c r="E19" s="118">
        <f t="shared" si="0"/>
        <v>160</v>
      </c>
      <c r="F19" s="124">
        <f t="shared" si="1"/>
        <v>0.0003797235324046746</v>
      </c>
      <c r="H19" s="7"/>
    </row>
    <row r="20" spans="1:9" ht="12.75">
      <c r="A20" s="6" t="s">
        <v>40</v>
      </c>
      <c r="B20" s="118">
        <f>208282+7859</f>
        <v>216141</v>
      </c>
      <c r="C20" s="118">
        <f>91540+12586</f>
        <v>104126</v>
      </c>
      <c r="D20" s="118"/>
      <c r="E20" s="118">
        <f t="shared" si="0"/>
        <v>320267</v>
      </c>
      <c r="F20" s="124">
        <f t="shared" si="1"/>
        <v>0.7600807284540495</v>
      </c>
      <c r="H20" s="6"/>
      <c r="I20" s="118"/>
    </row>
    <row r="21" spans="1:9" ht="12.75">
      <c r="A21" s="6" t="s">
        <v>565</v>
      </c>
      <c r="B21" s="123">
        <f>1232959+4696</f>
        <v>1237655</v>
      </c>
      <c r="C21" s="118">
        <f>249114+17127</f>
        <v>266241</v>
      </c>
      <c r="D21" s="118">
        <v>1080752</v>
      </c>
      <c r="E21" s="118">
        <f>SUM(B21:D21)</f>
        <v>2584648</v>
      </c>
      <c r="F21" s="124">
        <f t="shared" si="1"/>
        <v>6.134072928641733</v>
      </c>
      <c r="H21" s="6"/>
      <c r="I21" s="118"/>
    </row>
    <row r="22" spans="1:6" ht="12.75">
      <c r="A22" s="7" t="s">
        <v>41</v>
      </c>
      <c r="B22" s="123">
        <f>46434+2959</f>
        <v>49393</v>
      </c>
      <c r="C22" s="118">
        <f>18298+2822</f>
        <v>21120</v>
      </c>
      <c r="D22" s="123"/>
      <c r="E22" s="118">
        <f t="shared" si="0"/>
        <v>70513</v>
      </c>
      <c r="F22" s="124">
        <f t="shared" si="1"/>
        <v>0.1673465340028176</v>
      </c>
    </row>
    <row r="23" spans="1:6" ht="12.75">
      <c r="A23" s="6" t="s">
        <v>567</v>
      </c>
      <c r="B23" s="123">
        <v>20210</v>
      </c>
      <c r="C23" s="118">
        <f>17631+400</f>
        <v>18031</v>
      </c>
      <c r="D23" s="118">
        <v>22445</v>
      </c>
      <c r="E23" s="118">
        <f>SUM(B23:D23)</f>
        <v>60686</v>
      </c>
      <c r="F23" s="124">
        <f t="shared" si="1"/>
        <v>0.144024389296938</v>
      </c>
    </row>
    <row r="24" spans="1:9" ht="12.75">
      <c r="A24" s="6" t="s">
        <v>564</v>
      </c>
      <c r="D24" s="118">
        <v>247203</v>
      </c>
      <c r="E24" s="118">
        <f>SUM(B24:D24)</f>
        <v>247203</v>
      </c>
      <c r="F24" s="124">
        <f t="shared" si="1"/>
        <v>0.5866799773814548</v>
      </c>
      <c r="H24" s="6"/>
      <c r="I24" s="118"/>
    </row>
    <row r="25" spans="1:9" ht="12.75">
      <c r="A25" s="6" t="s">
        <v>566</v>
      </c>
      <c r="D25" s="118">
        <v>61219</v>
      </c>
      <c r="E25" s="118">
        <f>SUM(B25:D25)</f>
        <v>61219</v>
      </c>
      <c r="F25" s="124">
        <f t="shared" si="1"/>
        <v>0.14528934331426108</v>
      </c>
      <c r="H25" s="6"/>
      <c r="I25" s="118"/>
    </row>
    <row r="26" spans="1:9" ht="12.75">
      <c r="A26" s="6" t="s">
        <v>568</v>
      </c>
      <c r="B26" s="123">
        <f>328500+26500</f>
        <v>355000</v>
      </c>
      <c r="C26" s="118">
        <f>101000+34000</f>
        <v>135000</v>
      </c>
      <c r="D26" s="118">
        <v>1016149</v>
      </c>
      <c r="E26" s="118">
        <f>SUM(B26:D26)</f>
        <v>1506149</v>
      </c>
      <c r="F26" s="124">
        <f t="shared" si="1"/>
        <v>3.574501366298551</v>
      </c>
      <c r="H26" s="6"/>
      <c r="I26" s="118"/>
    </row>
    <row r="27" spans="1:9" ht="12.75">
      <c r="A27" s="7" t="s">
        <v>618</v>
      </c>
      <c r="B27" s="123">
        <v>75175</v>
      </c>
      <c r="C27" s="118">
        <v>32877</v>
      </c>
      <c r="D27" s="118">
        <v>42979</v>
      </c>
      <c r="E27" s="118">
        <f t="shared" si="0"/>
        <v>151031</v>
      </c>
      <c r="F27" s="124">
        <f t="shared" si="1"/>
        <v>0.35843765514131504</v>
      </c>
      <c r="H27" s="7"/>
      <c r="I27" s="118"/>
    </row>
    <row r="28" spans="1:9" ht="12.75">
      <c r="A28" s="7" t="s">
        <v>574</v>
      </c>
      <c r="B28" s="123"/>
      <c r="C28" s="118"/>
      <c r="D28" s="118">
        <f>15265</f>
        <v>15265</v>
      </c>
      <c r="E28" s="118">
        <f aca="true" t="shared" si="2" ref="E28:E33">SUM(B28:D28)</f>
        <v>15265</v>
      </c>
      <c r="F28" s="124">
        <f t="shared" si="1"/>
        <v>0.03622799826348348</v>
      </c>
      <c r="H28" s="7"/>
      <c r="I28" s="118"/>
    </row>
    <row r="29" spans="1:9" ht="12.75">
      <c r="A29" s="7" t="s">
        <v>571</v>
      </c>
      <c r="B29" s="123">
        <v>25083</v>
      </c>
      <c r="C29" s="118">
        <v>71988</v>
      </c>
      <c r="D29" s="118">
        <f>2735+982</f>
        <v>3717</v>
      </c>
      <c r="E29" s="118">
        <f t="shared" si="2"/>
        <v>100788</v>
      </c>
      <c r="F29" s="124">
        <f t="shared" si="1"/>
        <v>0.23919734615001462</v>
      </c>
      <c r="H29" s="7"/>
      <c r="I29" s="118"/>
    </row>
    <row r="30" spans="1:9" ht="12.75">
      <c r="A30" s="7" t="s">
        <v>572</v>
      </c>
      <c r="B30" s="123"/>
      <c r="C30" s="118"/>
      <c r="D30" s="118">
        <v>1548953</v>
      </c>
      <c r="E30" s="118">
        <f t="shared" si="2"/>
        <v>1548953</v>
      </c>
      <c r="F30" s="124">
        <f t="shared" si="1"/>
        <v>3.676086904305112</v>
      </c>
      <c r="H30" s="7"/>
      <c r="I30" s="118"/>
    </row>
    <row r="31" spans="1:9" ht="12.75">
      <c r="A31" s="7" t="s">
        <v>634</v>
      </c>
      <c r="B31" s="123"/>
      <c r="C31" s="118"/>
      <c r="D31" s="118">
        <v>53545</v>
      </c>
      <c r="E31" s="118">
        <f t="shared" si="2"/>
        <v>53545</v>
      </c>
      <c r="F31" s="124">
        <f t="shared" si="1"/>
        <v>0.12707685339130187</v>
      </c>
      <c r="H31" s="7"/>
      <c r="I31" s="118"/>
    </row>
    <row r="32" spans="1:9" ht="12.75">
      <c r="A32" s="7" t="s">
        <v>573</v>
      </c>
      <c r="B32" s="123"/>
      <c r="C32" s="118"/>
      <c r="D32" s="118">
        <v>325.86</v>
      </c>
      <c r="E32" s="118">
        <f t="shared" si="2"/>
        <v>325.86</v>
      </c>
      <c r="F32" s="124">
        <f t="shared" si="1"/>
        <v>0.0007733544391836704</v>
      </c>
      <c r="H32" s="7"/>
      <c r="I32" s="118"/>
    </row>
    <row r="33" spans="1:9" ht="12.75">
      <c r="A33" s="7" t="s">
        <v>569</v>
      </c>
      <c r="B33" s="118">
        <f>2042008.26-41028.85-66206.9-13793.1-44137.93-25455.06-35862.07-55172.41-3103.45-1103.45-25862.07</f>
        <v>1730282.97</v>
      </c>
      <c r="C33" s="118">
        <v>3418309.04</v>
      </c>
      <c r="D33" s="118">
        <v>466131.12</v>
      </c>
      <c r="E33" s="118">
        <f t="shared" si="2"/>
        <v>5614723.13</v>
      </c>
      <c r="F33" s="124">
        <f t="shared" si="1"/>
        <v>13.325265627486443</v>
      </c>
      <c r="H33" s="7"/>
      <c r="I33" s="118"/>
    </row>
    <row r="34" spans="1:6" ht="12.75">
      <c r="A34" s="7" t="s">
        <v>570</v>
      </c>
      <c r="B34" s="118"/>
      <c r="C34" s="118"/>
      <c r="D34" s="118">
        <v>1008</v>
      </c>
      <c r="E34" s="118">
        <f t="shared" si="0"/>
        <v>1008</v>
      </c>
      <c r="F34" s="124">
        <f t="shared" si="1"/>
        <v>0.0023922582541494497</v>
      </c>
    </row>
    <row r="35" spans="1:6" ht="12.75">
      <c r="A35" s="7" t="s">
        <v>575</v>
      </c>
      <c r="B35" s="118"/>
      <c r="C35" s="118"/>
      <c r="D35" s="118">
        <v>12392.15</v>
      </c>
      <c r="E35" s="118">
        <f>SUM(B35:D35)</f>
        <v>12392.15</v>
      </c>
      <c r="F35" s="124">
        <f t="shared" si="1"/>
        <v>0.02940994357555367</v>
      </c>
    </row>
    <row r="36" spans="1:9" ht="12.75">
      <c r="A36" s="7" t="s">
        <v>277</v>
      </c>
      <c r="B36" s="123">
        <f>828415+2604424.72-317.24-3096570.68</f>
        <v>335951.7999999998</v>
      </c>
      <c r="C36" s="118">
        <v>118495.77</v>
      </c>
      <c r="D36" s="118">
        <v>43922.59</v>
      </c>
      <c r="E36" s="118">
        <f>SUM(B36:D36)</f>
        <v>498370.1599999998</v>
      </c>
      <c r="F36" s="124">
        <f t="shared" si="1"/>
        <v>1.1827679850017674</v>
      </c>
      <c r="H36" s="123"/>
      <c r="I36" s="118"/>
    </row>
    <row r="37" spans="1:9" ht="12.75">
      <c r="A37" s="7" t="s">
        <v>440</v>
      </c>
      <c r="B37" s="123">
        <v>539940</v>
      </c>
      <c r="C37" s="118">
        <f>164241</f>
        <v>164241</v>
      </c>
      <c r="D37" s="118">
        <v>13960</v>
      </c>
      <c r="E37" s="118">
        <f aca="true" t="shared" si="3" ref="E37:E48">SUM(B37:D37)</f>
        <v>718141</v>
      </c>
      <c r="F37" s="124">
        <f t="shared" si="1"/>
        <v>1.7043439830289089</v>
      </c>
      <c r="H37" s="6"/>
      <c r="I37" s="118"/>
    </row>
    <row r="38" spans="1:6" ht="12.75">
      <c r="A38" s="7" t="s">
        <v>619</v>
      </c>
      <c r="B38" s="123"/>
      <c r="C38" s="118">
        <v>2660</v>
      </c>
      <c r="D38" s="123"/>
      <c r="E38" s="118">
        <f t="shared" si="3"/>
        <v>2660</v>
      </c>
      <c r="F38" s="124">
        <f t="shared" si="1"/>
        <v>0.006312903726227715</v>
      </c>
    </row>
    <row r="39" spans="1:9" ht="12.75">
      <c r="A39" s="7" t="s">
        <v>620</v>
      </c>
      <c r="B39" s="123"/>
      <c r="C39" s="118">
        <v>494.83</v>
      </c>
      <c r="D39" s="123"/>
      <c r="E39" s="118">
        <f t="shared" si="3"/>
        <v>494.83</v>
      </c>
      <c r="F39" s="124">
        <f t="shared" si="1"/>
        <v>0.001174366222123782</v>
      </c>
      <c r="H39" s="7"/>
      <c r="I39" s="118"/>
    </row>
    <row r="40" spans="1:8" ht="12.75">
      <c r="A40" s="7" t="s">
        <v>621</v>
      </c>
      <c r="B40" s="123">
        <v>23458</v>
      </c>
      <c r="C40" s="118">
        <f>29939</f>
        <v>29939</v>
      </c>
      <c r="D40" s="123"/>
      <c r="E40" s="118">
        <f t="shared" si="3"/>
        <v>53397</v>
      </c>
      <c r="F40" s="124">
        <f t="shared" si="1"/>
        <v>0.12672560912382755</v>
      </c>
      <c r="H40" s="7"/>
    </row>
    <row r="41" spans="1:6" ht="12.75">
      <c r="A41" s="7" t="s">
        <v>514</v>
      </c>
      <c r="B41" s="123">
        <v>48840</v>
      </c>
      <c r="C41" s="118">
        <v>28663.25</v>
      </c>
      <c r="D41" s="118">
        <v>40</v>
      </c>
      <c r="E41" s="118">
        <f t="shared" si="3"/>
        <v>77543.25</v>
      </c>
      <c r="F41" s="124">
        <f t="shared" si="1"/>
        <v>0.18403123002586738</v>
      </c>
    </row>
    <row r="42" spans="1:9" ht="12.75">
      <c r="A42" s="41" t="s">
        <v>622</v>
      </c>
      <c r="B42" s="123">
        <v>167500.01</v>
      </c>
      <c r="C42" s="118">
        <f>43629.31</f>
        <v>43629.31</v>
      </c>
      <c r="D42" s="118">
        <v>134660.76</v>
      </c>
      <c r="E42" s="118">
        <f t="shared" si="3"/>
        <v>345790.08</v>
      </c>
      <c r="F42" s="124">
        <f t="shared" si="1"/>
        <v>0.8206539415505939</v>
      </c>
      <c r="H42" s="7"/>
      <c r="I42" s="118"/>
    </row>
    <row r="43" spans="1:9" ht="12.75">
      <c r="A43" s="7" t="s">
        <v>625</v>
      </c>
      <c r="B43" s="123"/>
      <c r="C43" s="118"/>
      <c r="D43" s="118">
        <v>3646.4</v>
      </c>
      <c r="E43" s="118">
        <f t="shared" si="3"/>
        <v>3646.4</v>
      </c>
      <c r="F43" s="124">
        <f t="shared" si="1"/>
        <v>0.008653899303502533</v>
      </c>
      <c r="H43" s="7"/>
      <c r="I43" s="118"/>
    </row>
    <row r="44" spans="1:9" ht="12.75">
      <c r="A44" s="7" t="s">
        <v>623</v>
      </c>
      <c r="B44" s="123"/>
      <c r="C44" s="118"/>
      <c r="D44" s="118">
        <v>7245</v>
      </c>
      <c r="E44" s="118">
        <f t="shared" si="3"/>
        <v>7245</v>
      </c>
      <c r="F44" s="124">
        <f t="shared" si="1"/>
        <v>0.017194356201699172</v>
      </c>
      <c r="H44" s="7"/>
      <c r="I44" s="118"/>
    </row>
    <row r="45" spans="1:9" ht="12.75">
      <c r="A45" s="7" t="s">
        <v>576</v>
      </c>
      <c r="B45" s="123"/>
      <c r="C45" s="118"/>
      <c r="D45" s="118">
        <v>35808.62</v>
      </c>
      <c r="E45" s="118">
        <f t="shared" si="3"/>
        <v>35808.62</v>
      </c>
      <c r="F45" s="124">
        <f t="shared" si="1"/>
        <v>0.08498359798085424</v>
      </c>
      <c r="H45" s="7"/>
      <c r="I45" s="118"/>
    </row>
    <row r="46" spans="1:9" ht="12.75">
      <c r="A46" s="7" t="s">
        <v>577</v>
      </c>
      <c r="B46" s="123"/>
      <c r="C46" s="118"/>
      <c r="D46" s="118">
        <v>30891.68</v>
      </c>
      <c r="E46" s="118">
        <f>SUM(B46:D46)</f>
        <v>30891.68</v>
      </c>
      <c r="F46" s="124">
        <f t="shared" si="1"/>
        <v>0.07331436157196773</v>
      </c>
      <c r="H46" s="7"/>
      <c r="I46" s="118"/>
    </row>
    <row r="47" spans="1:9" ht="25.5">
      <c r="A47" s="339" t="s">
        <v>624</v>
      </c>
      <c r="B47" s="123"/>
      <c r="C47" s="118"/>
      <c r="D47" s="118">
        <v>58026.23</v>
      </c>
      <c r="E47" s="118">
        <f t="shared" si="3"/>
        <v>58026.23</v>
      </c>
      <c r="F47" s="124">
        <f t="shared" si="1"/>
        <v>0.13771203142328814</v>
      </c>
      <c r="H47" s="7"/>
      <c r="I47" s="118"/>
    </row>
    <row r="48" spans="1:6" ht="12.75">
      <c r="A48" s="7" t="s">
        <v>432</v>
      </c>
      <c r="B48" s="123">
        <f>566850.13-66850.13+9025+86412.63-9248.34-68965.52</f>
        <v>517223.77</v>
      </c>
      <c r="C48" s="118">
        <f>12704.03+174505.99-6000+6000</f>
        <v>187210.02</v>
      </c>
      <c r="D48" s="118">
        <v>3258.62</v>
      </c>
      <c r="E48" s="118">
        <f t="shared" si="3"/>
        <v>707692.41</v>
      </c>
      <c r="F48" s="124">
        <f t="shared" si="1"/>
        <v>1.6795466361323577</v>
      </c>
    </row>
    <row r="49" spans="1:9" ht="12.75">
      <c r="A49" s="8" t="s">
        <v>199</v>
      </c>
      <c r="B49" s="130">
        <f>SUM(B9:B48)</f>
        <v>13403626.749999998</v>
      </c>
      <c r="C49" s="130">
        <f>SUM(C9:C48)</f>
        <v>7579855.219999999</v>
      </c>
      <c r="D49" s="130">
        <f>SUM(D9:D48)</f>
        <v>19149420.03</v>
      </c>
      <c r="E49" s="130">
        <f>SUM(E9:E48)</f>
        <v>40132901.99999998</v>
      </c>
      <c r="F49" s="131">
        <f>SUM(F9:F48)</f>
        <v>95.24629570681644</v>
      </c>
      <c r="H49" s="7"/>
      <c r="I49" s="118"/>
    </row>
    <row r="50" spans="1:9" ht="12.75">
      <c r="A50" s="8"/>
      <c r="B50" s="127"/>
      <c r="C50" s="127"/>
      <c r="D50" s="127"/>
      <c r="E50" s="127"/>
      <c r="F50" s="137"/>
      <c r="H50" s="7"/>
      <c r="I50" s="118"/>
    </row>
    <row r="51" spans="1:9" ht="12.75">
      <c r="A51" s="8"/>
      <c r="B51" s="127"/>
      <c r="C51" s="127"/>
      <c r="D51" s="127"/>
      <c r="E51" s="127"/>
      <c r="F51" s="137"/>
      <c r="H51" s="7"/>
      <c r="I51" s="118"/>
    </row>
    <row r="52" spans="1:9" ht="12.75">
      <c r="A52" s="8"/>
      <c r="B52" s="127"/>
      <c r="C52" s="127"/>
      <c r="D52" s="127"/>
      <c r="E52" s="127"/>
      <c r="F52" s="137"/>
      <c r="H52" s="7"/>
      <c r="I52" s="118"/>
    </row>
    <row r="53" spans="1:9" ht="12.75">
      <c r="A53" s="8"/>
      <c r="B53" s="127"/>
      <c r="C53" s="127"/>
      <c r="D53" s="127"/>
      <c r="E53" s="127"/>
      <c r="F53" s="137"/>
      <c r="H53" s="7"/>
      <c r="I53" s="118"/>
    </row>
    <row r="54" spans="1:9" ht="12.75">
      <c r="A54" s="8"/>
      <c r="B54" s="127"/>
      <c r="C54" s="127"/>
      <c r="D54" s="127"/>
      <c r="E54" s="127"/>
      <c r="F54" s="137"/>
      <c r="H54" s="7"/>
      <c r="I54" s="118"/>
    </row>
    <row r="55" spans="1:9" ht="12.75">
      <c r="A55" s="8"/>
      <c r="B55" s="127"/>
      <c r="C55" s="127"/>
      <c r="D55" s="127"/>
      <c r="E55" s="127"/>
      <c r="F55" s="137"/>
      <c r="H55" s="7"/>
      <c r="I55" s="118"/>
    </row>
    <row r="56" spans="1:9" ht="12.75">
      <c r="A56" s="8"/>
      <c r="B56" s="127"/>
      <c r="C56" s="127"/>
      <c r="D56" s="127"/>
      <c r="E56" s="127"/>
      <c r="F56" s="137"/>
      <c r="H56" s="7"/>
      <c r="I56" s="118"/>
    </row>
    <row r="57" spans="1:6" ht="12.75">
      <c r="A57" s="123"/>
      <c r="B57" s="132"/>
      <c r="C57" s="132"/>
      <c r="D57" s="88"/>
      <c r="E57" s="132"/>
      <c r="F57" s="133"/>
    </row>
    <row r="58" spans="1:6" ht="12.75">
      <c r="A58" s="8" t="s">
        <v>160</v>
      </c>
      <c r="B58" s="132"/>
      <c r="C58" s="132"/>
      <c r="D58" s="88"/>
      <c r="E58" s="132"/>
      <c r="F58" s="133"/>
    </row>
    <row r="59" spans="1:6" ht="12.75">
      <c r="A59" s="1" t="s">
        <v>42</v>
      </c>
      <c r="B59" s="132">
        <v>79289.06</v>
      </c>
      <c r="C59" s="132">
        <v>76982.48</v>
      </c>
      <c r="D59" s="118">
        <v>76755.43</v>
      </c>
      <c r="E59" s="132">
        <f aca="true" t="shared" si="4" ref="E59:E68">SUM(B59:D59)</f>
        <v>233026.96999999997</v>
      </c>
      <c r="F59" s="133">
        <f aca="true" t="shared" si="5" ref="F59:F68">E59/$E$71*100</f>
        <v>0.5530364012122382</v>
      </c>
    </row>
    <row r="60" spans="1:6" ht="12.75">
      <c r="A60" s="1" t="s">
        <v>245</v>
      </c>
      <c r="B60" s="132">
        <v>10919.77</v>
      </c>
      <c r="C60" s="132">
        <v>11466.08</v>
      </c>
      <c r="D60" s="118">
        <v>11581.81</v>
      </c>
      <c r="E60" s="132">
        <f t="shared" si="4"/>
        <v>33967.659999999996</v>
      </c>
      <c r="F60" s="133">
        <f t="shared" si="5"/>
        <v>0.08061449901700604</v>
      </c>
    </row>
    <row r="61" spans="1:6" ht="12.75">
      <c r="A61" s="1" t="s">
        <v>412</v>
      </c>
      <c r="B61" s="132">
        <v>6453.86</v>
      </c>
      <c r="C61" s="129">
        <v>3329.03</v>
      </c>
      <c r="D61" s="118">
        <v>3362.45</v>
      </c>
      <c r="E61" s="132">
        <f t="shared" si="4"/>
        <v>13145.34</v>
      </c>
      <c r="F61" s="133">
        <f t="shared" si="5"/>
        <v>0.031197468371627905</v>
      </c>
    </row>
    <row r="62" spans="1:8" ht="12.75">
      <c r="A62" s="1" t="s">
        <v>558</v>
      </c>
      <c r="B62" s="132"/>
      <c r="C62" s="129">
        <v>190805.25</v>
      </c>
      <c r="D62" s="118">
        <v>213514.71</v>
      </c>
      <c r="E62" s="132">
        <f t="shared" si="4"/>
        <v>404319.95999999996</v>
      </c>
      <c r="F62" s="133">
        <f>E62/$E$71*100</f>
        <v>0.9595612714557296</v>
      </c>
      <c r="H62" s="7"/>
    </row>
    <row r="63" spans="1:8" ht="12.75">
      <c r="A63" s="1" t="s">
        <v>413</v>
      </c>
      <c r="B63" s="132">
        <v>16029.82</v>
      </c>
      <c r="C63" s="129">
        <v>1184.72</v>
      </c>
      <c r="D63" s="118">
        <v>1196.14</v>
      </c>
      <c r="E63" s="132">
        <f t="shared" si="4"/>
        <v>18410.68</v>
      </c>
      <c r="F63" s="133">
        <f t="shared" si="5"/>
        <v>0.04369355277232559</v>
      </c>
      <c r="H63" s="7"/>
    </row>
    <row r="64" spans="1:9" ht="12.75">
      <c r="A64" s="1" t="s">
        <v>426</v>
      </c>
      <c r="B64" s="132">
        <v>8554.41</v>
      </c>
      <c r="C64" s="129">
        <v>7252.8</v>
      </c>
      <c r="D64" s="118">
        <v>11809.06</v>
      </c>
      <c r="E64" s="132">
        <f t="shared" si="4"/>
        <v>27616.269999999997</v>
      </c>
      <c r="F64" s="133">
        <f t="shared" si="5"/>
        <v>0.06554092247650775</v>
      </c>
      <c r="H64" s="7"/>
      <c r="I64" s="118"/>
    </row>
    <row r="65" spans="1:9" ht="12.75">
      <c r="A65" s="1" t="s">
        <v>380</v>
      </c>
      <c r="B65" s="132">
        <v>18378.12</v>
      </c>
      <c r="C65" s="129">
        <v>22175.28</v>
      </c>
      <c r="D65" s="118">
        <v>18832</v>
      </c>
      <c r="E65" s="132">
        <f t="shared" si="4"/>
        <v>59385.399999999994</v>
      </c>
      <c r="F65" s="133">
        <f t="shared" si="5"/>
        <v>0.1409377116329035</v>
      </c>
      <c r="H65" s="7"/>
      <c r="I65" s="118"/>
    </row>
    <row r="66" spans="1:9" ht="12.75">
      <c r="A66" s="1" t="s">
        <v>295</v>
      </c>
      <c r="B66" s="132">
        <v>47475.41</v>
      </c>
      <c r="C66" s="129">
        <v>49850.51</v>
      </c>
      <c r="D66" s="118">
        <v>50353.61</v>
      </c>
      <c r="E66" s="132">
        <f t="shared" si="4"/>
        <v>147679.53000000003</v>
      </c>
      <c r="F66" s="133">
        <f t="shared" si="5"/>
        <v>0.3504837049716383</v>
      </c>
      <c r="H66" s="7"/>
      <c r="I66" s="118"/>
    </row>
    <row r="67" spans="1:8" ht="12.75">
      <c r="A67" s="1" t="s">
        <v>300</v>
      </c>
      <c r="B67" s="132">
        <v>2586.45</v>
      </c>
      <c r="C67" s="129">
        <v>2282.48</v>
      </c>
      <c r="D67" s="118">
        <v>2249.13</v>
      </c>
      <c r="E67" s="132">
        <f t="shared" si="4"/>
        <v>7118.06</v>
      </c>
      <c r="F67" s="133">
        <f t="shared" si="5"/>
        <v>0.016893093044177614</v>
      </c>
      <c r="H67" s="7"/>
    </row>
    <row r="68" spans="1:8" ht="12.75">
      <c r="A68" s="1" t="s">
        <v>43</v>
      </c>
      <c r="B68" s="132">
        <f>60218.45+5003.56+454109.59</f>
        <v>519331.60000000003</v>
      </c>
      <c r="C68" s="132">
        <f>8807.91+12.04+5008.35+468680.32</f>
        <v>482508.62</v>
      </c>
      <c r="D68" s="118">
        <v>56506.9</v>
      </c>
      <c r="E68" s="132">
        <f t="shared" si="4"/>
        <v>1058347.1199999999</v>
      </c>
      <c r="F68" s="133">
        <f t="shared" si="5"/>
        <v>2.5117456682294623</v>
      </c>
      <c r="H68" s="7"/>
    </row>
    <row r="69" spans="1:6" ht="12.75">
      <c r="A69" s="8" t="s">
        <v>200</v>
      </c>
      <c r="B69" s="130">
        <f>SUM(B59:B68)</f>
        <v>709018.5</v>
      </c>
      <c r="C69" s="130">
        <f>SUM(C59:C68)</f>
        <v>847837.2499999999</v>
      </c>
      <c r="D69" s="130">
        <f>SUM(D59:D68)</f>
        <v>446161.24</v>
      </c>
      <c r="E69" s="130">
        <f>SUM(E59:E68)</f>
        <v>2003016.99</v>
      </c>
      <c r="F69" s="131">
        <f>SUM(F59:F68)</f>
        <v>4.753704293183617</v>
      </c>
    </row>
    <row r="70" spans="2:6" ht="9" customHeight="1">
      <c r="B70" s="132"/>
      <c r="C70" s="132"/>
      <c r="D70" s="132"/>
      <c r="E70" s="132"/>
      <c r="F70" s="134"/>
    </row>
    <row r="71" spans="1:6" ht="13.5" thickBot="1">
      <c r="A71" s="79" t="s">
        <v>44</v>
      </c>
      <c r="B71" s="135">
        <f>B49+B69</f>
        <v>14112645.249999998</v>
      </c>
      <c r="C71" s="135">
        <f>C49+C69</f>
        <v>8427692.469999999</v>
      </c>
      <c r="D71" s="135">
        <f>D49+D69</f>
        <v>19595581.27</v>
      </c>
      <c r="E71" s="135">
        <f>E49+E69</f>
        <v>42135918.98999998</v>
      </c>
      <c r="F71" s="135">
        <f>F49+F69</f>
        <v>100.00000000000006</v>
      </c>
    </row>
    <row r="72" spans="1:6" ht="13.5" thickTop="1">
      <c r="A72" s="79"/>
      <c r="B72" s="136"/>
      <c r="C72" s="136"/>
      <c r="D72" s="136"/>
      <c r="E72" s="136"/>
      <c r="F72" s="137"/>
    </row>
    <row r="73" spans="1:6" ht="12.75">
      <c r="A73" s="4"/>
      <c r="B73" s="136"/>
      <c r="C73" s="136"/>
      <c r="D73" s="136"/>
      <c r="E73" s="136"/>
      <c r="F73" s="137"/>
    </row>
    <row r="74" spans="1:8" ht="12.75">
      <c r="A74" s="41"/>
      <c r="B74" s="26"/>
      <c r="C74" s="26"/>
      <c r="D74" s="26"/>
      <c r="E74" s="26"/>
      <c r="F74" s="15"/>
      <c r="H74" s="7"/>
    </row>
    <row r="75" spans="1:6" ht="3.75" customHeight="1">
      <c r="A75" s="8"/>
      <c r="B75" s="26"/>
      <c r="C75" s="26"/>
      <c r="D75" s="26"/>
      <c r="E75" s="26"/>
      <c r="F75" s="15"/>
    </row>
    <row r="76" spans="1:9" s="225" customFormat="1" ht="12.75">
      <c r="A76" s="73"/>
      <c r="B76" s="248"/>
      <c r="C76" s="248"/>
      <c r="D76" s="248"/>
      <c r="E76" s="248"/>
      <c r="H76" s="7"/>
      <c r="I76" s="1"/>
    </row>
    <row r="77" spans="2:8" ht="12.75">
      <c r="B77" s="27"/>
      <c r="C77" s="27"/>
      <c r="D77" s="27"/>
      <c r="E77" s="27"/>
      <c r="F77" s="21"/>
      <c r="G77" s="21"/>
      <c r="H77" s="8"/>
    </row>
    <row r="78" spans="8:9" ht="12.75">
      <c r="H78" s="123"/>
      <c r="I78" s="118"/>
    </row>
    <row r="79" spans="1:9" ht="12.75">
      <c r="A79" s="4"/>
      <c r="B79" s="26"/>
      <c r="C79" s="26"/>
      <c r="D79" s="26"/>
      <c r="E79" s="26"/>
      <c r="F79" s="15"/>
      <c r="H79" s="8"/>
      <c r="I79" s="118"/>
    </row>
    <row r="80" spans="1:6" ht="12.75">
      <c r="A80" s="4"/>
      <c r="B80" s="26"/>
      <c r="C80" s="26"/>
      <c r="D80" s="26"/>
      <c r="E80" s="26"/>
      <c r="F80" s="15"/>
    </row>
    <row r="81" spans="1:6" ht="12.75">
      <c r="A81" s="4"/>
      <c r="B81" s="26"/>
      <c r="C81" s="26"/>
      <c r="D81" s="26"/>
      <c r="E81" s="26"/>
      <c r="F81" s="15"/>
    </row>
    <row r="82" spans="1:6" ht="12.75">
      <c r="A82" s="4"/>
      <c r="B82" s="26"/>
      <c r="C82" s="26"/>
      <c r="D82" s="26"/>
      <c r="E82" s="26"/>
      <c r="F82" s="15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6299212598425197" header="0" footer="0.3937007874015748"/>
  <pageSetup horizontalDpi="600" verticalDpi="600" orientation="portrait" scale="90" r:id="rId1"/>
  <headerFooter alignWithMargins="0">
    <oddFooter>&amp;L 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="125" zoomScaleNormal="125" zoomScalePageLayoutView="0" workbookViewId="0" topLeftCell="A1">
      <selection activeCell="F20" sqref="F20"/>
    </sheetView>
  </sheetViews>
  <sheetFormatPr defaultColWidth="11.421875" defaultRowHeight="12.75"/>
  <cols>
    <col min="1" max="1" width="41.8515625" style="1" customWidth="1"/>
    <col min="2" max="5" width="11.7109375" style="22" customWidth="1"/>
    <col min="6" max="6" width="6.421875" style="1" customWidth="1"/>
    <col min="7" max="16384" width="11.421875" style="1" customWidth="1"/>
  </cols>
  <sheetData>
    <row r="1" spans="1:6" s="205" customFormat="1" ht="12.75">
      <c r="A1" s="202"/>
      <c r="B1" s="203"/>
      <c r="C1" s="203"/>
      <c r="D1" s="203"/>
      <c r="E1" s="352" t="s">
        <v>7</v>
      </c>
      <c r="F1" s="352"/>
    </row>
    <row r="2" spans="1:6" s="205" customFormat="1" ht="12.75">
      <c r="A2" s="351" t="s">
        <v>260</v>
      </c>
      <c r="B2" s="351"/>
      <c r="C2" s="351"/>
      <c r="D2" s="351"/>
      <c r="E2" s="351"/>
      <c r="F2" s="351"/>
    </row>
    <row r="3" spans="1:6" s="205" customFormat="1" ht="12.75">
      <c r="A3" s="353" t="s">
        <v>359</v>
      </c>
      <c r="B3" s="353"/>
      <c r="C3" s="353"/>
      <c r="D3" s="353"/>
      <c r="E3" s="353"/>
      <c r="F3" s="353"/>
    </row>
    <row r="4" spans="1:6" s="205" customFormat="1" ht="12.75">
      <c r="A4" s="351" t="s">
        <v>264</v>
      </c>
      <c r="B4" s="351"/>
      <c r="C4" s="351"/>
      <c r="D4" s="351"/>
      <c r="E4" s="351"/>
      <c r="F4" s="351"/>
    </row>
    <row r="5" spans="1:7" s="212" customFormat="1" ht="12.75">
      <c r="A5" s="351" t="s">
        <v>508</v>
      </c>
      <c r="B5" s="351"/>
      <c r="C5" s="351"/>
      <c r="D5" s="351"/>
      <c r="E5" s="351"/>
      <c r="F5" s="351"/>
      <c r="G5" s="211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1:6" ht="9" customHeight="1">
      <c r="A8" s="64"/>
      <c r="B8" s="64"/>
      <c r="C8" s="64"/>
      <c r="D8" s="64"/>
      <c r="E8" s="64"/>
      <c r="F8" s="2"/>
    </row>
    <row r="9" spans="1:6" ht="15" customHeight="1">
      <c r="A9" s="7" t="s">
        <v>635</v>
      </c>
      <c r="B9" s="123"/>
      <c r="C9" s="1"/>
      <c r="D9" s="123">
        <v>450</v>
      </c>
      <c r="E9" s="118">
        <f aca="true" t="shared" si="0" ref="E9:E17">SUM(B9:D9)</f>
        <v>450</v>
      </c>
      <c r="F9" s="124">
        <f aca="true" t="shared" si="1" ref="F9:F17">(E9/$E$19*100)</f>
        <v>0.004785054882745233</v>
      </c>
    </row>
    <row r="10" spans="1:6" ht="15" customHeight="1">
      <c r="A10" s="7" t="s">
        <v>580</v>
      </c>
      <c r="B10" s="123"/>
      <c r="C10" s="138">
        <f>267086.14</f>
        <v>267086.14</v>
      </c>
      <c r="D10" s="123">
        <f>496452+295161.76</f>
        <v>791613.76</v>
      </c>
      <c r="E10" s="118">
        <f>SUM(B10:D10)</f>
        <v>1058699.9</v>
      </c>
      <c r="F10" s="124">
        <f t="shared" si="1"/>
        <v>11.257638057459756</v>
      </c>
    </row>
    <row r="11" spans="1:8" ht="15" customHeight="1">
      <c r="A11" s="7" t="s">
        <v>578</v>
      </c>
      <c r="B11" s="123"/>
      <c r="C11" s="138"/>
      <c r="D11" s="123">
        <v>722224</v>
      </c>
      <c r="E11" s="118">
        <f t="shared" si="0"/>
        <v>722224</v>
      </c>
      <c r="F11" s="124">
        <f t="shared" si="1"/>
        <v>7.67973661696843</v>
      </c>
      <c r="G11" s="8"/>
      <c r="H11" s="123"/>
    </row>
    <row r="12" spans="1:8" ht="15" customHeight="1">
      <c r="A12" s="7" t="s">
        <v>579</v>
      </c>
      <c r="B12" s="123"/>
      <c r="C12" s="138"/>
      <c r="D12" s="123">
        <v>22687.23</v>
      </c>
      <c r="E12" s="118">
        <f t="shared" si="0"/>
        <v>22687.23</v>
      </c>
      <c r="F12" s="124">
        <f t="shared" si="1"/>
        <v>0.24124364597214254</v>
      </c>
      <c r="G12" s="8"/>
      <c r="H12" s="123"/>
    </row>
    <row r="13" spans="1:8" ht="15" customHeight="1">
      <c r="A13" s="41" t="s">
        <v>581</v>
      </c>
      <c r="B13" s="123">
        <v>19396</v>
      </c>
      <c r="C13" s="138">
        <f>1250</f>
        <v>1250</v>
      </c>
      <c r="D13" s="123">
        <v>2620</v>
      </c>
      <c r="E13" s="118">
        <f>SUM(B13:D13)</f>
        <v>23266</v>
      </c>
      <c r="F13" s="124">
        <f t="shared" si="1"/>
        <v>0.24739797089322357</v>
      </c>
      <c r="G13" s="8"/>
      <c r="H13" s="123"/>
    </row>
    <row r="14" spans="1:6" ht="15" customHeight="1">
      <c r="A14" s="41" t="s">
        <v>582</v>
      </c>
      <c r="B14" s="123"/>
      <c r="C14" s="138"/>
      <c r="D14" s="123">
        <v>30150</v>
      </c>
      <c r="E14" s="118">
        <f t="shared" si="0"/>
        <v>30150</v>
      </c>
      <c r="F14" s="124">
        <f t="shared" si="1"/>
        <v>0.32059867714393064</v>
      </c>
    </row>
    <row r="15" spans="1:6" ht="15" customHeight="1">
      <c r="A15" s="6" t="s">
        <v>45</v>
      </c>
      <c r="B15" s="118">
        <v>1735247.23</v>
      </c>
      <c r="C15" s="118">
        <f>1007271.49+4765894-600-1400</f>
        <v>5771165.49</v>
      </c>
      <c r="D15" s="118"/>
      <c r="E15" s="118">
        <f t="shared" si="0"/>
        <v>7506412.720000001</v>
      </c>
      <c r="F15" s="124">
        <f t="shared" si="1"/>
        <v>79.81910408385986</v>
      </c>
    </row>
    <row r="16" spans="1:6" ht="15" customHeight="1">
      <c r="A16" s="6" t="s">
        <v>441</v>
      </c>
      <c r="B16" s="118">
        <v>10506</v>
      </c>
      <c r="C16" s="118">
        <v>23410</v>
      </c>
      <c r="D16" s="118"/>
      <c r="E16" s="118">
        <f t="shared" si="0"/>
        <v>33916</v>
      </c>
      <c r="F16" s="124">
        <f t="shared" si="1"/>
        <v>0.36064426978486075</v>
      </c>
    </row>
    <row r="17" spans="1:6" ht="15" customHeight="1">
      <c r="A17" s="1" t="s">
        <v>46</v>
      </c>
      <c r="B17" s="118">
        <f>4107+370</f>
        <v>4477</v>
      </c>
      <c r="C17" s="118">
        <f>1147+851</f>
        <v>1998</v>
      </c>
      <c r="D17" s="118"/>
      <c r="E17" s="118">
        <f t="shared" si="0"/>
        <v>6475</v>
      </c>
      <c r="F17" s="124">
        <f t="shared" si="1"/>
        <v>0.06885162303505642</v>
      </c>
    </row>
    <row r="18" spans="2:8" ht="9" customHeight="1">
      <c r="B18" s="117"/>
      <c r="C18" s="117"/>
      <c r="D18" s="118"/>
      <c r="E18" s="118"/>
      <c r="F18" s="124"/>
      <c r="G18" s="51"/>
      <c r="H18" s="22"/>
    </row>
    <row r="19" spans="1:6" ht="12.75" customHeight="1" thickBot="1">
      <c r="A19" s="230" t="s">
        <v>157</v>
      </c>
      <c r="B19" s="139">
        <f>SUM(B9:B17)</f>
        <v>1769626.23</v>
      </c>
      <c r="C19" s="139">
        <f>SUM(C9:C17)</f>
        <v>6064909.63</v>
      </c>
      <c r="D19" s="139">
        <f>SUM(D9:D17)</f>
        <v>1569744.99</v>
      </c>
      <c r="E19" s="139">
        <f>SUM(E9:E17)</f>
        <v>9404280.850000001</v>
      </c>
      <c r="F19" s="139">
        <f>SUM(F9:F17)</f>
        <v>100</v>
      </c>
    </row>
    <row r="20" spans="2:8" ht="13.5" thickTop="1">
      <c r="B20" s="88"/>
      <c r="C20" s="88"/>
      <c r="D20" s="88"/>
      <c r="E20" s="88"/>
      <c r="F20" s="88"/>
      <c r="G20" s="51"/>
      <c r="H20" s="123"/>
    </row>
    <row r="22" spans="7:8" ht="12.75">
      <c r="G22" s="6"/>
      <c r="H22" s="118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984251968503937" header="0" footer="0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="125" zoomScaleNormal="125" zoomScalePageLayoutView="0" workbookViewId="0" topLeftCell="A1">
      <selection activeCell="C22" sqref="C22"/>
    </sheetView>
  </sheetViews>
  <sheetFormatPr defaultColWidth="11.421875" defaultRowHeight="12.75"/>
  <cols>
    <col min="1" max="1" width="37.57421875" style="16" customWidth="1"/>
    <col min="2" max="2" width="11.7109375" style="28" customWidth="1"/>
    <col min="3" max="3" width="11.57421875" style="28" customWidth="1"/>
    <col min="4" max="5" width="11.28125" style="28" customWidth="1"/>
    <col min="6" max="6" width="6.57421875" style="16" customWidth="1"/>
    <col min="7" max="7" width="2.7109375" style="16" customWidth="1"/>
    <col min="8" max="16384" width="11.421875" style="16" customWidth="1"/>
  </cols>
  <sheetData>
    <row r="1" spans="1:7" s="213" customFormat="1" ht="12.75">
      <c r="A1" s="202"/>
      <c r="B1" s="203"/>
      <c r="C1" s="203"/>
      <c r="D1" s="203"/>
      <c r="E1" s="352" t="s">
        <v>8</v>
      </c>
      <c r="F1" s="352"/>
      <c r="G1" s="205"/>
    </row>
    <row r="2" spans="1:7" s="213" customFormat="1" ht="12.75">
      <c r="A2" s="351" t="s">
        <v>260</v>
      </c>
      <c r="B2" s="351"/>
      <c r="C2" s="351"/>
      <c r="D2" s="351"/>
      <c r="E2" s="351"/>
      <c r="F2" s="351"/>
      <c r="G2" s="205"/>
    </row>
    <row r="3" spans="1:7" s="213" customFormat="1" ht="12.75">
      <c r="A3" s="353" t="s">
        <v>359</v>
      </c>
      <c r="B3" s="353"/>
      <c r="C3" s="353"/>
      <c r="D3" s="353"/>
      <c r="E3" s="353"/>
      <c r="F3" s="353"/>
      <c r="G3" s="205"/>
    </row>
    <row r="4" spans="1:7" s="213" customFormat="1" ht="12.75">
      <c r="A4" s="351" t="s">
        <v>265</v>
      </c>
      <c r="B4" s="351"/>
      <c r="C4" s="351"/>
      <c r="D4" s="351"/>
      <c r="E4" s="351"/>
      <c r="F4" s="351"/>
      <c r="G4" s="205"/>
    </row>
    <row r="5" spans="1:7" s="214" customFormat="1" ht="12.75">
      <c r="A5" s="351" t="s">
        <v>508</v>
      </c>
      <c r="B5" s="351"/>
      <c r="C5" s="351"/>
      <c r="D5" s="351"/>
      <c r="E5" s="351"/>
      <c r="F5" s="351"/>
      <c r="G5" s="211"/>
    </row>
    <row r="6" spans="2:7" ht="18.75" customHeight="1">
      <c r="B6" s="16"/>
      <c r="C6" s="16"/>
      <c r="D6" s="16"/>
      <c r="E6" s="16"/>
      <c r="G6" s="1"/>
    </row>
    <row r="7" spans="1:7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  <c r="G7" s="1"/>
    </row>
    <row r="8" spans="1:7" ht="9" customHeight="1">
      <c r="A8" s="2"/>
      <c r="B8" s="23"/>
      <c r="C8" s="23"/>
      <c r="D8" s="23"/>
      <c r="E8" s="23"/>
      <c r="F8" s="2"/>
      <c r="G8" s="1"/>
    </row>
    <row r="9" spans="1:8" ht="14.25" customHeight="1">
      <c r="A9" s="1" t="s">
        <v>288</v>
      </c>
      <c r="B9" s="123">
        <v>303970.53</v>
      </c>
      <c r="C9" s="118">
        <f>877174.15-45336.18-15156.35-33221.96</f>
        <v>783459.66</v>
      </c>
      <c r="D9" s="123">
        <v>759708.29</v>
      </c>
      <c r="E9" s="118">
        <f aca="true" t="shared" si="0" ref="E9:E16">SUM(B9:D9)</f>
        <v>1847138.48</v>
      </c>
      <c r="F9" s="124">
        <f aca="true" t="shared" si="1" ref="F9:F16">(E9/$E$18*100)</f>
        <v>6.049575564843074</v>
      </c>
      <c r="G9" s="10"/>
      <c r="H9" s="1"/>
    </row>
    <row r="10" spans="1:8" ht="14.25" customHeight="1">
      <c r="A10" s="82" t="s">
        <v>556</v>
      </c>
      <c r="B10" s="123"/>
      <c r="C10" s="118">
        <f>273171.05+237000+16000</f>
        <v>526171.05</v>
      </c>
      <c r="D10" s="123"/>
      <c r="E10" s="118">
        <f>SUM(B10:D10)</f>
        <v>526171.05</v>
      </c>
      <c r="F10" s="124">
        <f t="shared" si="1"/>
        <v>1.7232663178603822</v>
      </c>
      <c r="G10" s="10"/>
      <c r="H10" s="1"/>
    </row>
    <row r="11" spans="1:8" ht="14.25" customHeight="1">
      <c r="A11" s="7" t="s">
        <v>557</v>
      </c>
      <c r="B11" s="123"/>
      <c r="C11" s="118">
        <f>1127976.93+1</f>
        <v>1127977.93</v>
      </c>
      <c r="D11" s="123"/>
      <c r="E11" s="118">
        <f>SUM(B11:D11)</f>
        <v>1127977.93</v>
      </c>
      <c r="F11" s="124">
        <f t="shared" si="1"/>
        <v>3.6942480473961385</v>
      </c>
      <c r="G11" s="10"/>
      <c r="H11" s="1"/>
    </row>
    <row r="12" spans="1:9" ht="14.25" customHeight="1">
      <c r="A12" s="7" t="s">
        <v>444</v>
      </c>
      <c r="B12" s="123"/>
      <c r="C12" s="118">
        <f>778458.94</f>
        <v>778458.94</v>
      </c>
      <c r="D12" s="123"/>
      <c r="E12" s="118">
        <f t="shared" si="0"/>
        <v>778458.94</v>
      </c>
      <c r="F12" s="124">
        <f t="shared" si="1"/>
        <v>2.549536070331684</v>
      </c>
      <c r="G12" s="10"/>
      <c r="H12" s="7"/>
      <c r="I12" s="123"/>
    </row>
    <row r="13" spans="1:8" ht="14.25" customHeight="1">
      <c r="A13" s="1" t="s">
        <v>47</v>
      </c>
      <c r="B13" s="123">
        <v>1581030.62</v>
      </c>
      <c r="C13" s="123">
        <v>1330905.46</v>
      </c>
      <c r="D13" s="123">
        <v>53000</v>
      </c>
      <c r="E13" s="118">
        <f t="shared" si="0"/>
        <v>2964936.08</v>
      </c>
      <c r="F13" s="124">
        <f t="shared" si="1"/>
        <v>9.710481945506116</v>
      </c>
      <c r="H13" s="1"/>
    </row>
    <row r="14" spans="1:8" ht="14.25" customHeight="1">
      <c r="A14" s="1" t="s">
        <v>48</v>
      </c>
      <c r="B14" s="123">
        <f>1652864+66850.13</f>
        <v>1719714.13</v>
      </c>
      <c r="C14" s="123">
        <f>11344182.98+1677441.5+200000</f>
        <v>13221624.48</v>
      </c>
      <c r="D14" s="123">
        <f>822000+187500-187500</f>
        <v>822000</v>
      </c>
      <c r="E14" s="118">
        <f t="shared" si="0"/>
        <v>15763338.61</v>
      </c>
      <c r="F14" s="124">
        <f t="shared" si="1"/>
        <v>51.626615496312645</v>
      </c>
      <c r="G14" s="10" t="s">
        <v>22</v>
      </c>
      <c r="H14" s="1"/>
    </row>
    <row r="15" spans="1:9" ht="14.25" customHeight="1">
      <c r="A15" s="260" t="s">
        <v>449</v>
      </c>
      <c r="B15" s="123"/>
      <c r="C15" s="123">
        <v>4300</v>
      </c>
      <c r="D15" s="123"/>
      <c r="E15" s="118">
        <f t="shared" si="0"/>
        <v>4300</v>
      </c>
      <c r="F15" s="124">
        <f t="shared" si="1"/>
        <v>0.014082958700976884</v>
      </c>
      <c r="G15" s="10"/>
      <c r="I15" s="123"/>
    </row>
    <row r="16" spans="1:7" ht="14.25" customHeight="1">
      <c r="A16" s="7" t="s">
        <v>49</v>
      </c>
      <c r="B16" s="123">
        <v>67309</v>
      </c>
      <c r="C16" s="123">
        <f>7653726.51-200000</f>
        <v>7453726.51</v>
      </c>
      <c r="D16" s="123"/>
      <c r="E16" s="118">
        <f t="shared" si="0"/>
        <v>7521035.51</v>
      </c>
      <c r="F16" s="124">
        <f t="shared" si="1"/>
        <v>24.63219359904898</v>
      </c>
      <c r="G16" s="10"/>
    </row>
    <row r="17" spans="1:7" ht="9" customHeight="1">
      <c r="A17" s="1"/>
      <c r="B17" s="117"/>
      <c r="C17" s="117"/>
      <c r="D17" s="127"/>
      <c r="E17" s="117"/>
      <c r="F17" s="119"/>
      <c r="G17" s="1"/>
    </row>
    <row r="18" spans="1:7" ht="13.5" thickBot="1">
      <c r="A18" s="230" t="s">
        <v>157</v>
      </c>
      <c r="B18" s="139">
        <f>SUM(B9:B16)</f>
        <v>3672024.2800000003</v>
      </c>
      <c r="C18" s="139">
        <f>SUM(C9:C16)</f>
        <v>25226624.03</v>
      </c>
      <c r="D18" s="139">
        <f>SUM(D9:D16)</f>
        <v>1634708.29</v>
      </c>
      <c r="E18" s="139">
        <f>SUM(E9:E16)</f>
        <v>30533356.6</v>
      </c>
      <c r="F18" s="139">
        <f>SUM(F9:F16)</f>
        <v>100</v>
      </c>
      <c r="G18" s="1"/>
    </row>
    <row r="19" spans="1:7" ht="13.5" thickTop="1">
      <c r="A19" s="1"/>
      <c r="B19" s="22"/>
      <c r="C19" s="22"/>
      <c r="D19" s="22"/>
      <c r="E19" s="22"/>
      <c r="F19" s="1"/>
      <c r="G19" s="1"/>
    </row>
    <row r="20" spans="1:7" ht="12.75">
      <c r="A20" s="1"/>
      <c r="B20" s="22"/>
      <c r="C20" s="123"/>
      <c r="D20" s="22"/>
      <c r="E20" s="22"/>
      <c r="F20" s="1"/>
      <c r="G20" s="1"/>
    </row>
    <row r="21" spans="1:7" ht="12.75">
      <c r="A21" s="1"/>
      <c r="B21" s="22"/>
      <c r="C21" s="123"/>
      <c r="E21" s="22"/>
      <c r="F21" s="1"/>
      <c r="G21" s="1"/>
    </row>
    <row r="26" spans="1:7" ht="12.75">
      <c r="A26" s="73" t="s">
        <v>50</v>
      </c>
      <c r="B26" s="22"/>
      <c r="C26" s="22"/>
      <c r="D26" s="22"/>
      <c r="E26" s="22"/>
      <c r="F26" s="1"/>
      <c r="G26" s="1"/>
    </row>
    <row r="27" spans="1:7" ht="5.25" customHeight="1">
      <c r="A27" s="1"/>
      <c r="B27" s="22"/>
      <c r="C27" s="22"/>
      <c r="D27" s="22"/>
      <c r="E27" s="22"/>
      <c r="F27" s="1"/>
      <c r="G27" s="1"/>
    </row>
    <row r="28" spans="1:7" s="239" customFormat="1" ht="12">
      <c r="A28" s="249" t="s">
        <v>384</v>
      </c>
      <c r="B28" s="250"/>
      <c r="C28" s="250"/>
      <c r="D28" s="250"/>
      <c r="E28" s="250"/>
      <c r="G28" s="250"/>
    </row>
    <row r="29" spans="1:7" ht="12.75">
      <c r="A29" s="71"/>
      <c r="B29" s="71"/>
      <c r="C29" s="71"/>
      <c r="D29" s="71"/>
      <c r="E29" s="71"/>
      <c r="F29" s="144"/>
      <c r="G29" s="71"/>
    </row>
    <row r="30" spans="1:7" ht="12.75">
      <c r="A30" s="71"/>
      <c r="B30" s="140"/>
      <c r="C30" s="140"/>
      <c r="D30" s="140"/>
      <c r="E30" s="140"/>
      <c r="F30" s="145"/>
      <c r="G30" s="74"/>
    </row>
    <row r="31" spans="1:7" ht="12.75">
      <c r="A31" s="71"/>
      <c r="B31" s="140"/>
      <c r="C31" s="140"/>
      <c r="D31" s="140"/>
      <c r="E31" s="140"/>
      <c r="F31" s="145"/>
      <c r="G31" s="74"/>
    </row>
    <row r="32" spans="1:7" ht="12.75">
      <c r="A32" s="71"/>
      <c r="B32" s="141"/>
      <c r="C32" s="141"/>
      <c r="D32" s="141"/>
      <c r="E32" s="141"/>
      <c r="F32" s="145"/>
      <c r="G32" s="142"/>
    </row>
    <row r="33" spans="1:7" ht="12.75">
      <c r="A33" s="71"/>
      <c r="B33" s="71"/>
      <c r="C33" s="71"/>
      <c r="D33" s="71"/>
      <c r="E33" s="71"/>
      <c r="F33" s="145"/>
      <c r="G33" s="71"/>
    </row>
    <row r="34" spans="2:7" ht="12.75">
      <c r="B34" s="71"/>
      <c r="C34" s="71"/>
      <c r="D34" s="71"/>
      <c r="E34" s="71"/>
      <c r="F34" s="145"/>
      <c r="G34" s="71"/>
    </row>
    <row r="35" spans="1:7" ht="12.75">
      <c r="A35" s="143"/>
      <c r="B35" s="141"/>
      <c r="C35" s="141"/>
      <c r="D35" s="141"/>
      <c r="E35" s="141"/>
      <c r="F35" s="145"/>
      <c r="G35" s="142"/>
    </row>
    <row r="36" spans="1:7" ht="12.75">
      <c r="A36" s="143"/>
      <c r="B36" s="141"/>
      <c r="C36" s="141"/>
      <c r="D36" s="141"/>
      <c r="E36" s="141"/>
      <c r="F36" s="144"/>
      <c r="G36" s="142"/>
    </row>
    <row r="37" spans="2:7" ht="12.75">
      <c r="B37" s="21"/>
      <c r="C37" s="21"/>
      <c r="D37" s="21"/>
      <c r="E37" s="21"/>
      <c r="F37" s="145"/>
      <c r="G37" s="21"/>
    </row>
    <row r="38" spans="2:7" ht="15" customHeight="1">
      <c r="B38" s="141"/>
      <c r="C38" s="141"/>
      <c r="D38" s="141"/>
      <c r="E38" s="141"/>
      <c r="F38" s="142"/>
      <c r="G38" s="142"/>
    </row>
    <row r="39" spans="1:7" ht="12.75">
      <c r="A39" s="20"/>
      <c r="B39" s="21"/>
      <c r="C39" s="21"/>
      <c r="D39" s="21"/>
      <c r="E39" s="21"/>
      <c r="F39" s="21"/>
      <c r="G39" s="21"/>
    </row>
    <row r="40" spans="1:7" ht="12.75">
      <c r="A40" s="142"/>
      <c r="B40" s="141"/>
      <c r="C40" s="141"/>
      <c r="D40" s="141"/>
      <c r="E40" s="141"/>
      <c r="F40" s="142"/>
      <c r="G40" s="142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8267716535433072" header="0" footer="0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9"/>
  <sheetViews>
    <sheetView zoomScale="125" zoomScaleNormal="125" workbookViewId="0" topLeftCell="A1">
      <selection activeCell="E122" sqref="E122"/>
    </sheetView>
  </sheetViews>
  <sheetFormatPr defaultColWidth="11.421875" defaultRowHeight="12.75"/>
  <cols>
    <col min="1" max="1" width="48.140625" style="1" customWidth="1"/>
    <col min="2" max="3" width="11.7109375" style="22" customWidth="1"/>
    <col min="4" max="4" width="12.8515625" style="22" customWidth="1"/>
    <col min="5" max="5" width="11.8515625" style="22" customWidth="1"/>
    <col min="6" max="6" width="6.421875" style="1" customWidth="1"/>
    <col min="7" max="7" width="3.00390625" style="1" customWidth="1"/>
    <col min="8" max="8" width="9.140625" style="1" bestFit="1" customWidth="1"/>
    <col min="9" max="9" width="11.8515625" style="1" bestFit="1" customWidth="1"/>
    <col min="10" max="16384" width="11.421875" style="1" customWidth="1"/>
  </cols>
  <sheetData>
    <row r="1" spans="1:6" s="205" customFormat="1" ht="12.75">
      <c r="A1" s="202"/>
      <c r="B1" s="203"/>
      <c r="C1" s="203"/>
      <c r="D1" s="203"/>
      <c r="E1" s="352" t="s">
        <v>113</v>
      </c>
      <c r="F1" s="352"/>
    </row>
    <row r="2" spans="1:6" s="205" customFormat="1" ht="12.75">
      <c r="A2" s="351" t="s">
        <v>260</v>
      </c>
      <c r="B2" s="351"/>
      <c r="C2" s="351"/>
      <c r="D2" s="351"/>
      <c r="E2" s="351"/>
      <c r="F2" s="351"/>
    </row>
    <row r="3" spans="1:6" s="205" customFormat="1" ht="12.75">
      <c r="A3" s="353" t="s">
        <v>359</v>
      </c>
      <c r="B3" s="353"/>
      <c r="C3" s="353"/>
      <c r="D3" s="353"/>
      <c r="E3" s="353"/>
      <c r="F3" s="353"/>
    </row>
    <row r="4" spans="1:6" s="205" customFormat="1" ht="12.75">
      <c r="A4" s="351" t="s">
        <v>266</v>
      </c>
      <c r="B4" s="351"/>
      <c r="C4" s="351"/>
      <c r="D4" s="351"/>
      <c r="E4" s="351"/>
      <c r="F4" s="351"/>
    </row>
    <row r="5" spans="1:7" s="212" customFormat="1" ht="12.75">
      <c r="A5" s="351" t="s">
        <v>508</v>
      </c>
      <c r="B5" s="351"/>
      <c r="C5" s="351"/>
      <c r="D5" s="351"/>
      <c r="E5" s="351"/>
      <c r="F5" s="351"/>
      <c r="G5" s="211"/>
    </row>
    <row r="6" spans="1:6" ht="17.2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1:8" ht="7.5" customHeight="1">
      <c r="A8" s="2"/>
      <c r="B8" s="25"/>
      <c r="C8" s="25"/>
      <c r="D8" s="25"/>
      <c r="E8" s="23"/>
      <c r="F8" s="2"/>
      <c r="G8" s="279"/>
      <c r="H8" s="189"/>
    </row>
    <row r="9" spans="1:7" ht="14.25" customHeight="1">
      <c r="A9" s="189" t="s">
        <v>539</v>
      </c>
      <c r="B9" s="118"/>
      <c r="C9" s="118">
        <f>854555.52+784590.54</f>
        <v>1639146.06</v>
      </c>
      <c r="E9" s="118">
        <f>SUM(B9:D9)</f>
        <v>1639146.06</v>
      </c>
      <c r="F9" s="124">
        <f aca="true" t="shared" si="0" ref="F9:F29">(E9/$E$31*100)</f>
        <v>10.39847014997288</v>
      </c>
      <c r="G9" s="280" t="s">
        <v>22</v>
      </c>
    </row>
    <row r="10" spans="1:7" ht="14.25" customHeight="1">
      <c r="A10" s="189" t="s">
        <v>536</v>
      </c>
      <c r="B10" s="118">
        <v>329000</v>
      </c>
      <c r="C10" s="118">
        <v>2762500</v>
      </c>
      <c r="D10" s="118"/>
      <c r="E10" s="118">
        <f aca="true" t="shared" si="1" ref="E10:E29">SUM(B10:D10)</f>
        <v>3091500</v>
      </c>
      <c r="F10" s="124">
        <f t="shared" si="0"/>
        <v>19.611962138774356</v>
      </c>
      <c r="G10" s="280" t="s">
        <v>23</v>
      </c>
    </row>
    <row r="11" spans="1:8" ht="27.75" customHeight="1">
      <c r="A11" s="286" t="s">
        <v>636</v>
      </c>
      <c r="B11" s="118"/>
      <c r="C11" s="118">
        <v>4040000</v>
      </c>
      <c r="D11" s="118"/>
      <c r="E11" s="118">
        <f t="shared" si="1"/>
        <v>4040000</v>
      </c>
      <c r="F11" s="124">
        <f t="shared" si="0"/>
        <v>25.629088481529482</v>
      </c>
      <c r="G11" s="280" t="s">
        <v>26</v>
      </c>
      <c r="H11" s="268"/>
    </row>
    <row r="12" spans="1:7" ht="14.25" customHeight="1">
      <c r="A12" s="189" t="s">
        <v>637</v>
      </c>
      <c r="B12" s="118"/>
      <c r="C12" s="118">
        <v>230375</v>
      </c>
      <c r="D12" s="118"/>
      <c r="E12" s="118">
        <f t="shared" si="1"/>
        <v>230375</v>
      </c>
      <c r="F12" s="124">
        <f t="shared" si="0"/>
        <v>1.4614607076565236</v>
      </c>
      <c r="G12" s="280" t="s">
        <v>223</v>
      </c>
    </row>
    <row r="13" spans="1:9" ht="14.25" customHeight="1">
      <c r="A13" s="189" t="s">
        <v>583</v>
      </c>
      <c r="B13" s="118"/>
      <c r="C13" s="118"/>
      <c r="D13" s="118">
        <f>180000+180000</f>
        <v>360000</v>
      </c>
      <c r="E13" s="118">
        <f t="shared" si="1"/>
        <v>360000</v>
      </c>
      <c r="F13" s="124">
        <f t="shared" si="0"/>
        <v>2.283780161720449</v>
      </c>
      <c r="G13" s="280" t="s">
        <v>224</v>
      </c>
      <c r="H13" s="189"/>
      <c r="I13" s="118"/>
    </row>
    <row r="14" spans="1:7" ht="14.25" customHeight="1">
      <c r="A14" s="189" t="s">
        <v>471</v>
      </c>
      <c r="B14" s="118"/>
      <c r="C14" s="118">
        <f>319000+488310</f>
        <v>807310</v>
      </c>
      <c r="D14" s="118"/>
      <c r="E14" s="118">
        <f t="shared" si="1"/>
        <v>807310</v>
      </c>
      <c r="F14" s="124">
        <f t="shared" si="0"/>
        <v>5.121440450995932</v>
      </c>
      <c r="G14" s="280" t="s">
        <v>304</v>
      </c>
    </row>
    <row r="15" spans="1:9" ht="14.25" customHeight="1">
      <c r="A15" s="189" t="s">
        <v>638</v>
      </c>
      <c r="B15" s="118"/>
      <c r="C15" s="118">
        <v>100000</v>
      </c>
      <c r="D15" s="118"/>
      <c r="E15" s="118">
        <f t="shared" si="1"/>
        <v>100000</v>
      </c>
      <c r="F15" s="124">
        <f t="shared" si="0"/>
        <v>0.6343833782556803</v>
      </c>
      <c r="G15" s="280" t="s">
        <v>378</v>
      </c>
      <c r="H15" s="189"/>
      <c r="I15" s="118"/>
    </row>
    <row r="16" spans="1:9" ht="14.25" customHeight="1">
      <c r="A16" s="189" t="s">
        <v>538</v>
      </c>
      <c r="B16" s="118"/>
      <c r="C16" s="118">
        <v>1677441.5</v>
      </c>
      <c r="D16" s="118"/>
      <c r="E16" s="118">
        <f t="shared" si="1"/>
        <v>1677441.5</v>
      </c>
      <c r="F16" s="124">
        <f t="shared" si="0"/>
        <v>10.641410055962757</v>
      </c>
      <c r="G16" s="280" t="s">
        <v>379</v>
      </c>
      <c r="H16" s="189"/>
      <c r="I16" s="118"/>
    </row>
    <row r="17" spans="1:9" ht="14.25" customHeight="1">
      <c r="A17" s="189" t="s">
        <v>639</v>
      </c>
      <c r="B17" s="118"/>
      <c r="C17" s="118">
        <f>16000+78500</f>
        <v>94500</v>
      </c>
      <c r="D17" s="118"/>
      <c r="E17" s="118">
        <f t="shared" si="1"/>
        <v>94500</v>
      </c>
      <c r="F17" s="124">
        <f t="shared" si="0"/>
        <v>0.5994922924516178</v>
      </c>
      <c r="G17" s="280" t="s">
        <v>409</v>
      </c>
      <c r="H17" s="189"/>
      <c r="I17" s="118"/>
    </row>
    <row r="18" spans="1:9" ht="14.25" customHeight="1">
      <c r="A18" s="189" t="s">
        <v>540</v>
      </c>
      <c r="B18" s="118"/>
      <c r="C18" s="118">
        <f>375000+500000</f>
        <v>875000</v>
      </c>
      <c r="D18" s="118"/>
      <c r="E18" s="118">
        <f t="shared" si="1"/>
        <v>875000</v>
      </c>
      <c r="F18" s="124">
        <f t="shared" si="0"/>
        <v>5.5508545597372025</v>
      </c>
      <c r="G18" s="280" t="s">
        <v>452</v>
      </c>
      <c r="H18" s="189"/>
      <c r="I18" s="118"/>
    </row>
    <row r="19" spans="1:9" ht="14.25" customHeight="1">
      <c r="A19" s="189" t="s">
        <v>640</v>
      </c>
      <c r="B19" s="118">
        <v>22000</v>
      </c>
      <c r="C19" s="118"/>
      <c r="D19" s="118"/>
      <c r="E19" s="118">
        <f t="shared" si="1"/>
        <v>22000</v>
      </c>
      <c r="F19" s="124">
        <f t="shared" si="0"/>
        <v>0.13956434321624966</v>
      </c>
      <c r="G19" s="280" t="s">
        <v>463</v>
      </c>
      <c r="H19" s="189"/>
      <c r="I19" s="118"/>
    </row>
    <row r="20" spans="1:9" ht="14.25" customHeight="1">
      <c r="A20" s="189" t="s">
        <v>472</v>
      </c>
      <c r="B20" s="118">
        <v>260649</v>
      </c>
      <c r="C20" s="118"/>
      <c r="D20" s="118"/>
      <c r="E20" s="118">
        <f t="shared" si="1"/>
        <v>260649</v>
      </c>
      <c r="F20" s="124">
        <f t="shared" si="0"/>
        <v>1.6535139315896479</v>
      </c>
      <c r="G20" s="280" t="s">
        <v>547</v>
      </c>
      <c r="H20" s="189"/>
      <c r="I20" s="118"/>
    </row>
    <row r="21" spans="1:9" ht="14.25" customHeight="1">
      <c r="A21" s="189" t="s">
        <v>475</v>
      </c>
      <c r="B21" s="118"/>
      <c r="C21" s="118">
        <v>120000</v>
      </c>
      <c r="D21" s="118"/>
      <c r="E21" s="118">
        <f t="shared" si="1"/>
        <v>120000</v>
      </c>
      <c r="F21" s="124">
        <f t="shared" si="0"/>
        <v>0.7612600539068163</v>
      </c>
      <c r="G21" s="280" t="s">
        <v>548</v>
      </c>
      <c r="H21" s="189"/>
      <c r="I21" s="118"/>
    </row>
    <row r="22" spans="1:7" ht="14.25" customHeight="1">
      <c r="A22" s="189" t="s">
        <v>641</v>
      </c>
      <c r="B22" s="118"/>
      <c r="C22" s="118">
        <v>121875</v>
      </c>
      <c r="D22" s="118"/>
      <c r="E22" s="118">
        <f t="shared" si="1"/>
        <v>121875</v>
      </c>
      <c r="F22" s="124">
        <f t="shared" si="0"/>
        <v>0.7731547422491103</v>
      </c>
      <c r="G22" s="280" t="s">
        <v>549</v>
      </c>
    </row>
    <row r="23" spans="1:8" ht="14.25" customHeight="1">
      <c r="A23" s="189" t="s">
        <v>473</v>
      </c>
      <c r="B23" s="118">
        <v>283715</v>
      </c>
      <c r="C23" s="118"/>
      <c r="D23" s="118"/>
      <c r="E23" s="118">
        <f t="shared" si="1"/>
        <v>283715</v>
      </c>
      <c r="F23" s="124">
        <f t="shared" si="0"/>
        <v>1.7998408016181033</v>
      </c>
      <c r="G23" s="280" t="s">
        <v>550</v>
      </c>
      <c r="H23" s="280"/>
    </row>
    <row r="24" spans="1:8" ht="14.25" customHeight="1">
      <c r="A24" s="189" t="s">
        <v>642</v>
      </c>
      <c r="B24" s="118"/>
      <c r="C24" s="118"/>
      <c r="D24" s="118">
        <f>48000+99000+99000+216000</f>
        <v>462000</v>
      </c>
      <c r="E24" s="118">
        <f t="shared" si="1"/>
        <v>462000</v>
      </c>
      <c r="F24" s="124">
        <f t="shared" si="0"/>
        <v>2.930851207541243</v>
      </c>
      <c r="G24" s="280" t="s">
        <v>551</v>
      </c>
      <c r="H24" s="280"/>
    </row>
    <row r="25" spans="1:7" ht="14.25" customHeight="1">
      <c r="A25" s="189" t="s">
        <v>537</v>
      </c>
      <c r="B25" s="118"/>
      <c r="C25" s="118">
        <v>400000</v>
      </c>
      <c r="D25" s="118"/>
      <c r="E25" s="118">
        <f t="shared" si="1"/>
        <v>400000</v>
      </c>
      <c r="F25" s="124">
        <f t="shared" si="0"/>
        <v>2.537533513022721</v>
      </c>
      <c r="G25" s="280" t="s">
        <v>553</v>
      </c>
    </row>
    <row r="26" spans="1:8" ht="14.25" customHeight="1">
      <c r="A26" s="189" t="s">
        <v>476</v>
      </c>
      <c r="B26" s="118">
        <f>17625+52875+62250+51000+20750+153000</f>
        <v>357500</v>
      </c>
      <c r="C26" s="118">
        <f>2500+8625+17500</f>
        <v>28625</v>
      </c>
      <c r="D26" s="118"/>
      <c r="E26" s="118">
        <f t="shared" si="1"/>
        <v>386125</v>
      </c>
      <c r="F26" s="124">
        <f t="shared" si="0"/>
        <v>2.4495128192897453</v>
      </c>
      <c r="G26" s="280" t="s">
        <v>554</v>
      </c>
      <c r="H26" s="280"/>
    </row>
    <row r="27" spans="1:8" ht="14.25" customHeight="1">
      <c r="A27" s="189" t="s">
        <v>477</v>
      </c>
      <c r="B27" s="118">
        <v>400000</v>
      </c>
      <c r="C27" s="118"/>
      <c r="D27" s="118"/>
      <c r="E27" s="118">
        <f t="shared" si="1"/>
        <v>400000</v>
      </c>
      <c r="F27" s="124">
        <f t="shared" si="0"/>
        <v>2.537533513022721</v>
      </c>
      <c r="G27" s="280" t="s">
        <v>560</v>
      </c>
      <c r="H27" s="280"/>
    </row>
    <row r="28" spans="1:8" ht="14.25" customHeight="1">
      <c r="A28" s="189" t="s">
        <v>478</v>
      </c>
      <c r="B28" s="118">
        <v>66850.13</v>
      </c>
      <c r="C28" s="118">
        <f>67050.13+67050.13-9248.34</f>
        <v>124851.92000000001</v>
      </c>
      <c r="D28" s="123"/>
      <c r="E28" s="118">
        <f t="shared" si="1"/>
        <v>191702.05000000002</v>
      </c>
      <c r="F28" s="124">
        <f t="shared" si="0"/>
        <v>1.2161259409753935</v>
      </c>
      <c r="G28" s="280" t="s">
        <v>587</v>
      </c>
      <c r="H28" s="280"/>
    </row>
    <row r="29" spans="1:8" ht="14.25" customHeight="1">
      <c r="A29" s="189" t="s">
        <v>559</v>
      </c>
      <c r="B29" s="118"/>
      <c r="C29" s="118">
        <v>200000</v>
      </c>
      <c r="D29" s="123"/>
      <c r="E29" s="118">
        <f t="shared" si="1"/>
        <v>200000</v>
      </c>
      <c r="F29" s="124">
        <f t="shared" si="0"/>
        <v>1.2687667565113605</v>
      </c>
      <c r="G29" s="280" t="s">
        <v>588</v>
      </c>
      <c r="H29" s="280"/>
    </row>
    <row r="30" spans="2:7" ht="5.25" customHeight="1">
      <c r="B30" s="146"/>
      <c r="C30" s="146"/>
      <c r="D30" s="146"/>
      <c r="E30" s="118"/>
      <c r="F30" s="124"/>
      <c r="G30" s="12"/>
    </row>
    <row r="31" spans="1:7" ht="13.5" thickBot="1">
      <c r="A31" s="230" t="s">
        <v>157</v>
      </c>
      <c r="B31" s="139">
        <f>SUM(B9:B29)</f>
        <v>1719714.13</v>
      </c>
      <c r="C31" s="139">
        <f>SUM(C9:C29)</f>
        <v>13221624.48</v>
      </c>
      <c r="D31" s="139">
        <f>SUM(D9:D29)</f>
        <v>822000</v>
      </c>
      <c r="E31" s="139">
        <f>SUM(E9:E29)</f>
        <v>15763338.610000001</v>
      </c>
      <c r="F31" s="139">
        <f>SUM(F9:F29)</f>
        <v>99.99999999999996</v>
      </c>
      <c r="G31" s="9"/>
    </row>
    <row r="32" spans="1:7" ht="13.5" thickTop="1">
      <c r="A32" s="230"/>
      <c r="B32" s="146"/>
      <c r="C32" s="146"/>
      <c r="D32" s="146"/>
      <c r="E32" s="146"/>
      <c r="F32" s="146"/>
      <c r="G32" s="9"/>
    </row>
    <row r="33" spans="1:6" ht="12.75" customHeight="1">
      <c r="A33" s="73" t="s">
        <v>28</v>
      </c>
      <c r="B33" s="52"/>
      <c r="C33" s="52"/>
      <c r="D33" s="52"/>
      <c r="E33" s="52"/>
      <c r="F33" s="15"/>
    </row>
    <row r="34" spans="1:5" ht="12.75">
      <c r="A34" s="12" t="s">
        <v>541</v>
      </c>
      <c r="B34" s="52"/>
      <c r="C34" s="52"/>
      <c r="D34" s="52"/>
      <c r="E34" s="118">
        <f>854555.52</f>
        <v>854555.52</v>
      </c>
    </row>
    <row r="35" spans="1:5" ht="12.75">
      <c r="A35" s="275" t="s">
        <v>545</v>
      </c>
      <c r="B35" s="52"/>
      <c r="C35" s="52"/>
      <c r="D35" s="52"/>
      <c r="E35" s="118">
        <v>784590.54</v>
      </c>
    </row>
    <row r="36" spans="2:5" ht="6.75" customHeight="1">
      <c r="B36" s="52"/>
      <c r="C36" s="52"/>
      <c r="D36" s="52"/>
      <c r="E36" s="145"/>
    </row>
    <row r="37" spans="1:5" ht="12.75">
      <c r="A37" s="12" t="s">
        <v>658</v>
      </c>
      <c r="B37" s="52"/>
      <c r="C37" s="52"/>
      <c r="D37" s="52"/>
      <c r="E37" s="145">
        <v>329000</v>
      </c>
    </row>
    <row r="38" spans="1:5" ht="12.75">
      <c r="A38" s="53" t="s">
        <v>655</v>
      </c>
      <c r="B38" s="52"/>
      <c r="C38" s="52"/>
      <c r="D38" s="52"/>
      <c r="E38" s="145"/>
    </row>
    <row r="39" spans="1:5" ht="12.75">
      <c r="A39" s="53" t="s">
        <v>656</v>
      </c>
      <c r="B39" s="52"/>
      <c r="C39" s="52"/>
      <c r="D39" s="52"/>
      <c r="E39" s="145"/>
    </row>
    <row r="40" spans="1:5" ht="12.75">
      <c r="A40" s="275" t="s">
        <v>657</v>
      </c>
      <c r="B40" s="52"/>
      <c r="C40" s="52"/>
      <c r="D40" s="52"/>
      <c r="E40" s="145">
        <v>2762500</v>
      </c>
    </row>
    <row r="41" spans="1:5" ht="7.5" customHeight="1">
      <c r="A41" s="275"/>
      <c r="B41" s="52"/>
      <c r="C41" s="52"/>
      <c r="D41" s="52"/>
      <c r="E41" s="145"/>
    </row>
    <row r="42" spans="1:5" ht="12.75">
      <c r="A42" s="11" t="s">
        <v>542</v>
      </c>
      <c r="B42" s="52"/>
      <c r="C42" s="52"/>
      <c r="D42" s="52"/>
      <c r="E42" s="145"/>
    </row>
    <row r="43" spans="1:5" ht="12.75">
      <c r="A43" s="275" t="s">
        <v>659</v>
      </c>
      <c r="B43" s="52"/>
      <c r="C43" s="52"/>
      <c r="D43" s="52"/>
      <c r="E43" s="145">
        <v>4040000</v>
      </c>
    </row>
    <row r="44" spans="1:5" ht="7.5" customHeight="1">
      <c r="A44" s="275"/>
      <c r="B44" s="52"/>
      <c r="C44" s="52"/>
      <c r="D44" s="52"/>
      <c r="E44" s="145"/>
    </row>
    <row r="45" spans="1:5" ht="12.75">
      <c r="A45" s="12" t="s">
        <v>660</v>
      </c>
      <c r="B45" s="52"/>
      <c r="C45" s="52"/>
      <c r="D45" s="52"/>
      <c r="E45" s="145"/>
    </row>
    <row r="46" spans="1:5" ht="12.75">
      <c r="A46" s="275" t="s">
        <v>661</v>
      </c>
      <c r="B46" s="52"/>
      <c r="C46" s="52"/>
      <c r="D46" s="52"/>
      <c r="E46" s="145">
        <v>230375</v>
      </c>
    </row>
    <row r="47" spans="2:5" ht="7.5" customHeight="1">
      <c r="B47" s="52"/>
      <c r="C47" s="52"/>
      <c r="D47" s="52"/>
      <c r="E47" s="145"/>
    </row>
    <row r="48" spans="1:5" ht="12.75">
      <c r="A48" s="12" t="s">
        <v>662</v>
      </c>
      <c r="B48" s="52"/>
      <c r="C48" s="52"/>
      <c r="D48" s="52"/>
      <c r="E48" s="145"/>
    </row>
    <row r="49" spans="1:5" ht="12.75">
      <c r="A49" s="277" t="s">
        <v>665</v>
      </c>
      <c r="B49" s="52"/>
      <c r="C49" s="52"/>
      <c r="D49" s="52"/>
      <c r="E49" s="145">
        <v>180000</v>
      </c>
    </row>
    <row r="50" spans="1:5" ht="12.75">
      <c r="A50" s="277" t="s">
        <v>663</v>
      </c>
      <c r="B50" s="52"/>
      <c r="C50" s="52"/>
      <c r="D50" s="52"/>
      <c r="E50" s="145"/>
    </row>
    <row r="51" spans="1:5" ht="12.75">
      <c r="A51" s="277" t="s">
        <v>664</v>
      </c>
      <c r="B51" s="52"/>
      <c r="C51" s="52"/>
      <c r="D51" s="52"/>
      <c r="E51" s="145">
        <v>180000</v>
      </c>
    </row>
    <row r="52" spans="2:5" ht="7.5" customHeight="1">
      <c r="B52" s="52"/>
      <c r="C52" s="52"/>
      <c r="D52" s="52"/>
      <c r="E52" s="145"/>
    </row>
    <row r="53" spans="1:5" ht="12.75">
      <c r="A53" s="12" t="s">
        <v>666</v>
      </c>
      <c r="B53" s="52"/>
      <c r="C53" s="52"/>
      <c r="D53" s="52"/>
      <c r="E53" s="145"/>
    </row>
    <row r="54" spans="1:5" ht="12.75">
      <c r="A54" s="275" t="s">
        <v>667</v>
      </c>
      <c r="C54" s="52"/>
      <c r="D54" s="52"/>
      <c r="E54" s="145">
        <v>488310</v>
      </c>
    </row>
    <row r="55" spans="1:5" ht="12.75">
      <c r="A55" s="277" t="s">
        <v>668</v>
      </c>
      <c r="B55" s="52"/>
      <c r="C55" s="52"/>
      <c r="D55" s="52"/>
      <c r="E55" s="145"/>
    </row>
    <row r="56" spans="1:8" s="279" customFormat="1" ht="12.75" customHeight="1">
      <c r="A56" s="275" t="s">
        <v>667</v>
      </c>
      <c r="C56" s="283"/>
      <c r="D56" s="283"/>
      <c r="E56" s="284">
        <v>319000</v>
      </c>
      <c r="G56" s="53"/>
      <c r="H56" s="53"/>
    </row>
    <row r="57" spans="2:5" ht="7.5" customHeight="1">
      <c r="B57" s="53"/>
      <c r="C57" s="52"/>
      <c r="D57" s="52"/>
      <c r="E57" s="145"/>
    </row>
    <row r="58" spans="1:8" ht="12.75">
      <c r="A58" s="12" t="s">
        <v>669</v>
      </c>
      <c r="B58" s="53"/>
      <c r="C58" s="52"/>
      <c r="D58" s="52"/>
      <c r="E58" s="145"/>
      <c r="G58" s="53"/>
      <c r="H58" s="53"/>
    </row>
    <row r="59" spans="1:8" ht="12.75">
      <c r="A59" s="53" t="s">
        <v>670</v>
      </c>
      <c r="B59" s="53"/>
      <c r="C59" s="52"/>
      <c r="D59" s="52"/>
      <c r="E59" s="145">
        <v>100000</v>
      </c>
      <c r="G59" s="53"/>
      <c r="H59" s="53"/>
    </row>
    <row r="60" spans="1:8" ht="8.25" customHeight="1">
      <c r="A60" s="53"/>
      <c r="B60" s="53"/>
      <c r="C60" s="52"/>
      <c r="D60" s="52"/>
      <c r="E60" s="145"/>
      <c r="G60" s="53"/>
      <c r="H60" s="53"/>
    </row>
    <row r="61" spans="1:8" ht="12.75">
      <c r="A61" s="12" t="s">
        <v>672</v>
      </c>
      <c r="B61" s="53"/>
      <c r="C61" s="52"/>
      <c r="D61" s="52"/>
      <c r="E61" s="145"/>
      <c r="G61" s="53"/>
      <c r="H61" s="53"/>
    </row>
    <row r="62" spans="1:7" ht="12.75">
      <c r="A62" s="53" t="s">
        <v>671</v>
      </c>
      <c r="B62" s="53"/>
      <c r="C62" s="52"/>
      <c r="D62" s="52"/>
      <c r="E62" s="145">
        <v>1677441.5</v>
      </c>
      <c r="G62" s="53"/>
    </row>
    <row r="63" spans="2:8" ht="7.5" customHeight="1">
      <c r="B63" s="53"/>
      <c r="C63" s="52"/>
      <c r="D63" s="52"/>
      <c r="E63" s="145"/>
      <c r="G63" s="53"/>
      <c r="H63" s="53"/>
    </row>
    <row r="64" spans="1:8" ht="12.75">
      <c r="A64" s="12" t="s">
        <v>584</v>
      </c>
      <c r="B64" s="53"/>
      <c r="C64" s="52"/>
      <c r="D64" s="52"/>
      <c r="E64" s="145"/>
      <c r="G64" s="53"/>
      <c r="H64" s="53"/>
    </row>
    <row r="65" spans="1:8" ht="12.75">
      <c r="A65" s="53" t="s">
        <v>543</v>
      </c>
      <c r="B65" s="53"/>
      <c r="C65" s="52"/>
      <c r="D65" s="52"/>
      <c r="E65" s="145">
        <v>16000</v>
      </c>
      <c r="G65" s="53"/>
      <c r="H65" s="53"/>
    </row>
    <row r="66" spans="1:8" ht="12.75">
      <c r="A66" s="53" t="s">
        <v>544</v>
      </c>
      <c r="B66" s="53"/>
      <c r="C66" s="52"/>
      <c r="D66" s="52"/>
      <c r="E66" s="145"/>
      <c r="G66" s="53"/>
      <c r="H66" s="53"/>
    </row>
    <row r="67" spans="1:8" ht="12.75">
      <c r="A67" s="53" t="s">
        <v>543</v>
      </c>
      <c r="B67" s="53"/>
      <c r="C67" s="52"/>
      <c r="D67" s="52"/>
      <c r="E67" s="145">
        <v>78500</v>
      </c>
      <c r="G67" s="53"/>
      <c r="H67" s="53"/>
    </row>
    <row r="68" spans="1:8" ht="7.5" customHeight="1">
      <c r="A68" s="53"/>
      <c r="B68" s="53"/>
      <c r="C68" s="52"/>
      <c r="D68" s="52"/>
      <c r="E68" s="145"/>
      <c r="G68" s="53"/>
      <c r="H68" s="53"/>
    </row>
    <row r="69" spans="1:8" ht="12.75">
      <c r="A69" s="12" t="s">
        <v>585</v>
      </c>
      <c r="B69" s="53"/>
      <c r="C69" s="52"/>
      <c r="D69" s="52"/>
      <c r="E69" s="145"/>
      <c r="G69" s="53"/>
      <c r="H69" s="53"/>
    </row>
    <row r="70" spans="1:8" ht="12.75">
      <c r="A70" s="53" t="s">
        <v>673</v>
      </c>
      <c r="B70" s="53"/>
      <c r="C70" s="52"/>
      <c r="D70" s="52"/>
      <c r="E70" s="145">
        <v>375000</v>
      </c>
      <c r="G70" s="53"/>
      <c r="H70" s="53"/>
    </row>
    <row r="71" spans="1:8" s="279" customFormat="1" ht="11.25">
      <c r="A71" s="12" t="s">
        <v>546</v>
      </c>
      <c r="G71" s="53"/>
      <c r="H71" s="53"/>
    </row>
    <row r="72" spans="1:8" ht="12.75">
      <c r="A72" s="53" t="s">
        <v>673</v>
      </c>
      <c r="B72" s="53"/>
      <c r="C72" s="53"/>
      <c r="D72" s="53"/>
      <c r="E72" s="145">
        <v>500000</v>
      </c>
      <c r="G72" s="53"/>
      <c r="H72" s="53"/>
    </row>
    <row r="73" spans="1:4" ht="7.5" customHeight="1">
      <c r="A73" s="53"/>
      <c r="B73" s="53"/>
      <c r="C73" s="53"/>
      <c r="D73" s="53"/>
    </row>
    <row r="74" spans="1:5" ht="12.75">
      <c r="A74" s="12" t="s">
        <v>674</v>
      </c>
      <c r="B74" s="53"/>
      <c r="C74" s="53"/>
      <c r="D74" s="53"/>
      <c r="E74" s="145"/>
    </row>
    <row r="75" spans="1:5" ht="12.75">
      <c r="A75" s="277" t="s">
        <v>675</v>
      </c>
      <c r="C75" s="53"/>
      <c r="D75" s="53"/>
      <c r="E75" s="145">
        <v>22000</v>
      </c>
    </row>
    <row r="76" spans="2:5" ht="8.25" customHeight="1">
      <c r="B76" s="53"/>
      <c r="C76" s="53"/>
      <c r="D76" s="53"/>
      <c r="E76" s="145"/>
    </row>
    <row r="77" spans="1:5" ht="12.75">
      <c r="A77" s="12" t="s">
        <v>586</v>
      </c>
      <c r="B77" s="53"/>
      <c r="C77" s="53"/>
      <c r="D77" s="53"/>
      <c r="E77" s="145"/>
    </row>
    <row r="78" s="279" customFormat="1" ht="12.75" customHeight="1">
      <c r="A78" s="275" t="s">
        <v>676</v>
      </c>
    </row>
    <row r="79" spans="1:5" ht="12.75">
      <c r="A79" s="275" t="s">
        <v>677</v>
      </c>
      <c r="B79" s="53"/>
      <c r="C79" s="53"/>
      <c r="D79" s="53"/>
      <c r="E79" s="145">
        <v>260649</v>
      </c>
    </row>
    <row r="80" spans="1:5" ht="8.25" customHeight="1">
      <c r="A80" s="53"/>
      <c r="B80" s="53"/>
      <c r="C80" s="53"/>
      <c r="D80" s="53"/>
      <c r="E80" s="145"/>
    </row>
    <row r="81" spans="1:5" ht="12.75">
      <c r="A81" s="12" t="s">
        <v>630</v>
      </c>
      <c r="B81" s="53"/>
      <c r="C81" s="53"/>
      <c r="D81" s="53"/>
      <c r="E81" s="145"/>
    </row>
    <row r="82" spans="1:5" ht="12.75">
      <c r="A82" s="53" t="s">
        <v>678</v>
      </c>
      <c r="B82" s="53"/>
      <c r="C82" s="53"/>
      <c r="D82" s="53"/>
      <c r="E82" s="145">
        <v>120000</v>
      </c>
    </row>
    <row r="83" s="279" customFormat="1" ht="7.5" customHeight="1"/>
    <row r="84" spans="1:5" ht="12.75">
      <c r="A84" s="12" t="s">
        <v>680</v>
      </c>
      <c r="B84" s="53"/>
      <c r="C84" s="53"/>
      <c r="D84" s="53"/>
      <c r="E84" s="1"/>
    </row>
    <row r="85" spans="1:8" s="7" customFormat="1" ht="12.75">
      <c r="A85" s="275" t="s">
        <v>679</v>
      </c>
      <c r="B85" s="53"/>
      <c r="C85" s="53"/>
      <c r="D85" s="53"/>
      <c r="E85" s="145">
        <v>121875</v>
      </c>
      <c r="H85" s="263"/>
    </row>
    <row r="86" s="279" customFormat="1" ht="8.25" customHeight="1">
      <c r="E86" s="145"/>
    </row>
    <row r="87" spans="1:5" ht="12.75">
      <c r="A87" s="12" t="s">
        <v>629</v>
      </c>
      <c r="B87" s="53"/>
      <c r="C87" s="53"/>
      <c r="D87" s="53"/>
      <c r="E87" s="145"/>
    </row>
    <row r="88" spans="1:5" s="7" customFormat="1" ht="12.75">
      <c r="A88" s="275" t="s">
        <v>681</v>
      </c>
      <c r="B88" s="53"/>
      <c r="C88" s="53"/>
      <c r="D88" s="53"/>
      <c r="E88" s="145">
        <v>283715</v>
      </c>
    </row>
    <row r="89" spans="1:5" s="7" customFormat="1" ht="6" customHeight="1">
      <c r="A89" s="275"/>
      <c r="B89" s="53"/>
      <c r="C89" s="53"/>
      <c r="D89" s="53"/>
      <c r="E89" s="145"/>
    </row>
    <row r="90" spans="1:5" s="7" customFormat="1" ht="12.75">
      <c r="A90" s="12" t="s">
        <v>688</v>
      </c>
      <c r="B90" s="53"/>
      <c r="C90" s="53"/>
      <c r="D90" s="53"/>
      <c r="E90" s="145"/>
    </row>
    <row r="91" spans="1:5" s="7" customFormat="1" ht="12.75">
      <c r="A91" s="53" t="s">
        <v>686</v>
      </c>
      <c r="B91" s="53"/>
      <c r="C91" s="53"/>
      <c r="D91" s="53"/>
      <c r="E91" s="145">
        <v>48000</v>
      </c>
    </row>
    <row r="92" spans="1:5" s="7" customFormat="1" ht="12.75">
      <c r="A92" s="53" t="s">
        <v>687</v>
      </c>
      <c r="B92" s="53"/>
      <c r="C92" s="53"/>
      <c r="D92" s="53"/>
      <c r="E92" s="145"/>
    </row>
    <row r="93" spans="1:5" s="7" customFormat="1" ht="12.75">
      <c r="A93" s="53" t="s">
        <v>589</v>
      </c>
      <c r="B93" s="53"/>
      <c r="C93" s="53"/>
      <c r="D93" s="53"/>
      <c r="E93" s="145">
        <v>99000</v>
      </c>
    </row>
    <row r="94" spans="1:5" s="7" customFormat="1" ht="12.75">
      <c r="A94" s="53" t="s">
        <v>689</v>
      </c>
      <c r="B94" s="53"/>
      <c r="C94" s="53"/>
      <c r="D94" s="53"/>
      <c r="E94" s="145"/>
    </row>
    <row r="95" spans="1:5" s="7" customFormat="1" ht="12.75">
      <c r="A95" s="53" t="s">
        <v>590</v>
      </c>
      <c r="B95" s="53"/>
      <c r="C95" s="53"/>
      <c r="D95" s="53"/>
      <c r="E95" s="145">
        <v>99000</v>
      </c>
    </row>
    <row r="96" spans="1:5" s="7" customFormat="1" ht="12.75">
      <c r="A96" s="53" t="s">
        <v>690</v>
      </c>
      <c r="B96" s="53"/>
      <c r="C96" s="53"/>
      <c r="D96" s="53"/>
      <c r="E96" s="145"/>
    </row>
    <row r="97" spans="1:5" s="7" customFormat="1" ht="12.75">
      <c r="A97" s="53" t="s">
        <v>591</v>
      </c>
      <c r="B97" s="53"/>
      <c r="C97" s="53"/>
      <c r="D97" s="53"/>
      <c r="E97" s="145">
        <v>216000</v>
      </c>
    </row>
    <row r="98" spans="2:5" s="7" customFormat="1" ht="7.5" customHeight="1">
      <c r="B98" s="53"/>
      <c r="C98" s="52"/>
      <c r="D98" s="52"/>
      <c r="E98" s="145"/>
    </row>
    <row r="99" spans="1:5" s="279" customFormat="1" ht="12.75" customHeight="1">
      <c r="A99" s="12" t="s">
        <v>682</v>
      </c>
      <c r="C99" s="283"/>
      <c r="D99" s="283"/>
      <c r="E99" s="145">
        <v>400000</v>
      </c>
    </row>
    <row r="100" spans="2:5" ht="7.5" customHeight="1">
      <c r="B100" s="53"/>
      <c r="C100" s="52"/>
      <c r="D100" s="52"/>
      <c r="E100" s="145"/>
    </row>
    <row r="101" spans="1:5" ht="12.75" customHeight="1">
      <c r="A101" s="12" t="s">
        <v>628</v>
      </c>
      <c r="B101" s="53"/>
      <c r="C101" s="52"/>
      <c r="D101" s="52"/>
      <c r="E101" s="145"/>
    </row>
    <row r="102" spans="1:5" s="279" customFormat="1" ht="12.75" customHeight="1">
      <c r="A102" s="53" t="s">
        <v>500</v>
      </c>
      <c r="C102" s="283"/>
      <c r="D102" s="283"/>
      <c r="E102" s="145">
        <f>17625+52875+8625</f>
        <v>79125</v>
      </c>
    </row>
    <row r="103" spans="1:8" ht="12.75" customHeight="1">
      <c r="A103" s="53" t="s">
        <v>683</v>
      </c>
      <c r="B103" s="53"/>
      <c r="C103" s="52"/>
      <c r="D103" s="52"/>
      <c r="E103" s="145"/>
      <c r="H103" s="268"/>
    </row>
    <row r="104" spans="1:8" s="7" customFormat="1" ht="12.75" customHeight="1">
      <c r="A104" s="53" t="s">
        <v>496</v>
      </c>
      <c r="C104" s="52"/>
      <c r="D104" s="52"/>
      <c r="E104" s="145">
        <f>62250+20750+17500</f>
        <v>100500</v>
      </c>
      <c r="H104" s="263"/>
    </row>
    <row r="105" spans="1:8" s="7" customFormat="1" ht="12.75" customHeight="1">
      <c r="A105" s="53" t="s">
        <v>684</v>
      </c>
      <c r="B105" s="53"/>
      <c r="C105" s="52"/>
      <c r="D105" s="52"/>
      <c r="E105" s="145"/>
      <c r="H105" s="263"/>
    </row>
    <row r="106" spans="1:8" s="7" customFormat="1" ht="12.75" customHeight="1">
      <c r="A106" s="53" t="s">
        <v>552</v>
      </c>
      <c r="B106" s="53"/>
      <c r="C106" s="52"/>
      <c r="D106" s="52"/>
      <c r="E106" s="145">
        <f>51000+153000+2500</f>
        <v>206500</v>
      </c>
      <c r="H106" s="263"/>
    </row>
    <row r="107" spans="1:8" ht="7.5" customHeight="1">
      <c r="A107" s="276"/>
      <c r="B107" s="53"/>
      <c r="C107" s="52"/>
      <c r="D107" s="52"/>
      <c r="E107" s="145"/>
      <c r="H107" s="268"/>
    </row>
    <row r="108" spans="1:8" ht="12.75" customHeight="1">
      <c r="A108" s="12" t="s">
        <v>627</v>
      </c>
      <c r="B108" s="53"/>
      <c r="C108" s="52"/>
      <c r="D108" s="52"/>
      <c r="E108" s="145"/>
      <c r="H108" s="268"/>
    </row>
    <row r="109" spans="1:8" ht="12.75" customHeight="1">
      <c r="A109" s="53" t="s">
        <v>497</v>
      </c>
      <c r="B109" s="53"/>
      <c r="C109" s="52"/>
      <c r="D109" s="52"/>
      <c r="E109" s="145">
        <v>400000</v>
      </c>
      <c r="H109" s="268"/>
    </row>
    <row r="110" spans="1:6" ht="7.5" customHeight="1">
      <c r="A110" s="53"/>
      <c r="B110" s="52"/>
      <c r="C110" s="52"/>
      <c r="D110" s="52"/>
      <c r="E110" s="145"/>
      <c r="F110" s="15"/>
    </row>
    <row r="111" spans="1:7" ht="12.75">
      <c r="A111" s="12" t="s">
        <v>626</v>
      </c>
      <c r="B111" s="24"/>
      <c r="C111" s="52"/>
      <c r="D111" s="52"/>
      <c r="E111" s="145"/>
      <c r="F111" s="55"/>
      <c r="G111" s="56"/>
    </row>
    <row r="112" spans="1:7" ht="12.75">
      <c r="A112" s="53" t="s">
        <v>555</v>
      </c>
      <c r="B112" s="24"/>
      <c r="C112" s="52"/>
      <c r="D112" s="52"/>
      <c r="E112" s="145">
        <f>66850.13+67050.13+67050.13-9248.34</f>
        <v>191702.05000000002</v>
      </c>
      <c r="F112" s="55"/>
      <c r="G112" s="56"/>
    </row>
    <row r="113" spans="1:7" ht="7.5" customHeight="1">
      <c r="A113" s="53"/>
      <c r="B113" s="24"/>
      <c r="C113" s="52"/>
      <c r="D113" s="52"/>
      <c r="E113" s="145"/>
      <c r="F113" s="55"/>
      <c r="G113" s="56"/>
    </row>
    <row r="114" spans="1:7" ht="12.75">
      <c r="A114" s="12" t="s">
        <v>685</v>
      </c>
      <c r="B114" s="24"/>
      <c r="C114" s="52"/>
      <c r="D114" s="52"/>
      <c r="E114" s="145">
        <v>200000</v>
      </c>
      <c r="F114" s="55"/>
      <c r="G114" s="56"/>
    </row>
    <row r="115" spans="2:7" ht="7.5" customHeight="1">
      <c r="B115" s="52"/>
      <c r="C115" s="52"/>
      <c r="D115" s="52"/>
      <c r="E115" s="145"/>
      <c r="F115" s="55"/>
      <c r="G115" s="56"/>
    </row>
    <row r="116" spans="2:7" ht="13.5" thickBot="1">
      <c r="B116" s="52"/>
      <c r="C116" s="52"/>
      <c r="D116" s="52"/>
      <c r="E116" s="278">
        <f>SUM(E34:E115)</f>
        <v>15763338.610000001</v>
      </c>
      <c r="F116" s="55"/>
      <c r="G116" s="56"/>
    </row>
    <row r="117" spans="1:7" ht="13.5" thickTop="1">
      <c r="A117" s="270"/>
      <c r="B117" s="54"/>
      <c r="C117" s="54"/>
      <c r="D117" s="54"/>
      <c r="E117" s="54"/>
      <c r="F117" s="55"/>
      <c r="G117" s="56"/>
    </row>
    <row r="118" spans="1:5" s="269" customFormat="1" ht="8.25">
      <c r="A118" s="271"/>
      <c r="B118" s="272"/>
      <c r="C118" s="272"/>
      <c r="D118" s="272"/>
      <c r="E118" s="272"/>
    </row>
    <row r="119" spans="1:5" ht="12.75">
      <c r="A119" s="340"/>
      <c r="E119" s="118"/>
    </row>
    <row r="120" ht="12.75">
      <c r="A120" s="341"/>
    </row>
    <row r="121" spans="1:5" ht="12.75">
      <c r="A121" s="342"/>
      <c r="E121" s="343"/>
    </row>
    <row r="125" ht="12.75">
      <c r="A125" s="268"/>
    </row>
    <row r="127" ht="12.75">
      <c r="A127" s="268"/>
    </row>
    <row r="129" ht="12.75">
      <c r="A129" s="268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511811023622047" top="0.84" bottom="0.984251968503937" header="0" footer="0.3937007874015748"/>
  <pageSetup horizontalDpi="600" verticalDpi="600" orientation="portrait" scale="85" r:id="rId1"/>
  <headerFooter alignWithMargins="0"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B60" sqref="B60"/>
    </sheetView>
  </sheetViews>
  <sheetFormatPr defaultColWidth="13.421875" defaultRowHeight="12.75"/>
  <cols>
    <col min="1" max="1" width="42.140625" style="1" customWidth="1"/>
    <col min="2" max="2" width="12.57421875" style="22" customWidth="1"/>
    <col min="3" max="4" width="12.00390625" style="22" customWidth="1"/>
    <col min="5" max="5" width="12.421875" style="22" customWidth="1"/>
    <col min="6" max="6" width="6.28125" style="256" customWidth="1"/>
    <col min="7" max="7" width="2.8515625" style="1" customWidth="1"/>
    <col min="8" max="8" width="14.421875" style="1" bestFit="1" customWidth="1"/>
    <col min="9" max="16384" width="13.421875" style="1" customWidth="1"/>
  </cols>
  <sheetData>
    <row r="1" spans="1:6" s="205" customFormat="1" ht="14.25" customHeight="1">
      <c r="A1" s="202"/>
      <c r="B1" s="203"/>
      <c r="C1" s="203"/>
      <c r="D1" s="203"/>
      <c r="E1" s="352" t="s">
        <v>10</v>
      </c>
      <c r="F1" s="352"/>
    </row>
    <row r="2" spans="1:6" s="205" customFormat="1" ht="12.75">
      <c r="A2" s="351" t="s">
        <v>260</v>
      </c>
      <c r="B2" s="351"/>
      <c r="C2" s="351"/>
      <c r="D2" s="351"/>
      <c r="E2" s="351"/>
      <c r="F2" s="351"/>
    </row>
    <row r="3" spans="1:6" s="205" customFormat="1" ht="12.75">
      <c r="A3" s="353" t="s">
        <v>359</v>
      </c>
      <c r="B3" s="353"/>
      <c r="C3" s="353"/>
      <c r="D3" s="353"/>
      <c r="E3" s="353"/>
      <c r="F3" s="353"/>
    </row>
    <row r="4" spans="1:6" s="205" customFormat="1" ht="12.75">
      <c r="A4" s="351" t="s">
        <v>267</v>
      </c>
      <c r="B4" s="351"/>
      <c r="C4" s="351"/>
      <c r="D4" s="351"/>
      <c r="E4" s="351"/>
      <c r="F4" s="351"/>
    </row>
    <row r="5" spans="1:7" s="212" customFormat="1" ht="12.75">
      <c r="A5" s="351" t="s">
        <v>508</v>
      </c>
      <c r="B5" s="351"/>
      <c r="C5" s="351"/>
      <c r="D5" s="351"/>
      <c r="E5" s="351"/>
      <c r="F5" s="351"/>
      <c r="G5" s="211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06" t="s">
        <v>361</v>
      </c>
      <c r="B7" s="207" t="s">
        <v>505</v>
      </c>
      <c r="C7" s="207" t="s">
        <v>506</v>
      </c>
      <c r="D7" s="207" t="s">
        <v>507</v>
      </c>
      <c r="E7" s="206" t="s">
        <v>19</v>
      </c>
      <c r="F7" s="208" t="s">
        <v>20</v>
      </c>
    </row>
    <row r="8" spans="2:6" ht="9" customHeight="1">
      <c r="B8" s="29"/>
      <c r="C8" s="29"/>
      <c r="E8" s="29"/>
      <c r="F8" s="251"/>
    </row>
    <row r="9" spans="1:8" ht="12.75">
      <c r="A9" s="5" t="s">
        <v>607</v>
      </c>
      <c r="B9" s="147">
        <v>334216.75</v>
      </c>
      <c r="C9" s="147">
        <v>662549.8</v>
      </c>
      <c r="D9" s="147">
        <v>845541.18</v>
      </c>
      <c r="E9" s="148">
        <f aca="true" t="shared" si="0" ref="E9:E36">SUM(B9:D9)</f>
        <v>1842307.73</v>
      </c>
      <c r="F9" s="152">
        <f aca="true" t="shared" si="1" ref="F9:F36">(E9/$E$96)*100</f>
        <v>0.16940045779870708</v>
      </c>
      <c r="H9" s="5"/>
    </row>
    <row r="10" spans="1:9" ht="12.75">
      <c r="A10" s="5" t="s">
        <v>344</v>
      </c>
      <c r="B10" s="147">
        <v>16057.36</v>
      </c>
      <c r="C10" s="147">
        <v>5776.65</v>
      </c>
      <c r="D10" s="147"/>
      <c r="E10" s="148">
        <f t="shared" si="0"/>
        <v>21834.010000000002</v>
      </c>
      <c r="F10" s="152">
        <f t="shared" si="1"/>
        <v>0.0020076403248775105</v>
      </c>
      <c r="H10" s="5"/>
      <c r="I10" s="147"/>
    </row>
    <row r="11" spans="1:9" ht="12.75">
      <c r="A11" s="5" t="s">
        <v>377</v>
      </c>
      <c r="B11" s="147"/>
      <c r="C11" s="147">
        <v>558</v>
      </c>
      <c r="D11" s="147"/>
      <c r="E11" s="148">
        <f t="shared" si="0"/>
        <v>558</v>
      </c>
      <c r="F11" s="152">
        <f t="shared" si="1"/>
        <v>5.130817936245567E-05</v>
      </c>
      <c r="H11" s="5"/>
      <c r="I11" s="147"/>
    </row>
    <row r="12" spans="1:9" ht="12.75">
      <c r="A12" s="5" t="s">
        <v>221</v>
      </c>
      <c r="B12" s="147">
        <v>36730.34</v>
      </c>
      <c r="C12" s="147"/>
      <c r="D12" s="147"/>
      <c r="E12" s="148">
        <f t="shared" si="0"/>
        <v>36730.34</v>
      </c>
      <c r="F12" s="152">
        <f t="shared" si="1"/>
        <v>0.0033773599870322224</v>
      </c>
      <c r="H12" s="5"/>
      <c r="I12" s="147"/>
    </row>
    <row r="13" spans="1:8" ht="12.75">
      <c r="A13" s="5" t="s">
        <v>280</v>
      </c>
      <c r="B13" s="147">
        <v>9472132.79</v>
      </c>
      <c r="C13" s="147">
        <v>78320000</v>
      </c>
      <c r="D13" s="147">
        <v>15649309.07</v>
      </c>
      <c r="E13" s="148">
        <f t="shared" si="0"/>
        <v>103441441.85999998</v>
      </c>
      <c r="F13" s="152">
        <f t="shared" si="1"/>
        <v>9.511455291153958</v>
      </c>
      <c r="H13" s="5"/>
    </row>
    <row r="14" spans="1:8" ht="12.75">
      <c r="A14" s="5" t="s">
        <v>281</v>
      </c>
      <c r="B14" s="147">
        <v>4357651.31</v>
      </c>
      <c r="C14" s="147">
        <v>8910.82</v>
      </c>
      <c r="D14" s="147">
        <v>4337672.74</v>
      </c>
      <c r="E14" s="148">
        <f t="shared" si="0"/>
        <v>8704234.870000001</v>
      </c>
      <c r="F14" s="152">
        <f t="shared" si="1"/>
        <v>0.800355634270432</v>
      </c>
      <c r="H14" s="5"/>
    </row>
    <row r="15" spans="1:8" ht="12.75">
      <c r="A15" s="5" t="s">
        <v>362</v>
      </c>
      <c r="B15" s="147">
        <v>9254878.64</v>
      </c>
      <c r="C15" s="147">
        <v>15838.35</v>
      </c>
      <c r="D15" s="147">
        <v>9217020.01</v>
      </c>
      <c r="E15" s="148">
        <f t="shared" si="0"/>
        <v>18487737</v>
      </c>
      <c r="F15" s="152">
        <f t="shared" si="1"/>
        <v>1.6999500465984017</v>
      </c>
      <c r="H15" s="5"/>
    </row>
    <row r="16" spans="1:8" ht="12.75">
      <c r="A16" s="5" t="s">
        <v>282</v>
      </c>
      <c r="B16" s="147">
        <v>11847370.76</v>
      </c>
      <c r="C16" s="147">
        <v>11404415.2</v>
      </c>
      <c r="D16" s="147">
        <v>11827141.58</v>
      </c>
      <c r="E16" s="148">
        <f t="shared" si="0"/>
        <v>35078927.54</v>
      </c>
      <c r="F16" s="152">
        <f t="shared" si="1"/>
        <v>3.2255123764604043</v>
      </c>
      <c r="H16" s="5"/>
    </row>
    <row r="17" spans="1:8" ht="12.75">
      <c r="A17" s="5" t="s">
        <v>302</v>
      </c>
      <c r="B17" s="147">
        <v>809163.56</v>
      </c>
      <c r="C17" s="147">
        <f>608698+104373+150596.09+160000+762272.92+824433.3+958527.05</f>
        <v>3568900.3600000003</v>
      </c>
      <c r="D17" s="147">
        <v>815098.01</v>
      </c>
      <c r="E17" s="148">
        <f t="shared" si="0"/>
        <v>5193161.93</v>
      </c>
      <c r="F17" s="152">
        <f t="shared" si="1"/>
        <v>0.47751197806938434</v>
      </c>
      <c r="H17" s="5"/>
    </row>
    <row r="18" spans="1:8" ht="12.75">
      <c r="A18" s="5" t="s">
        <v>254</v>
      </c>
      <c r="B18" s="147">
        <v>4289.37</v>
      </c>
      <c r="C18" s="147"/>
      <c r="D18" s="147">
        <v>50000</v>
      </c>
      <c r="E18" s="148">
        <f t="shared" si="0"/>
        <v>54289.37</v>
      </c>
      <c r="F18" s="152">
        <f t="shared" si="1"/>
        <v>0.0049919152928937635</v>
      </c>
      <c r="H18" s="5"/>
    </row>
    <row r="19" spans="1:8" ht="12.75">
      <c r="A19" s="5" t="s">
        <v>429</v>
      </c>
      <c r="B19" s="147">
        <v>-166170.35</v>
      </c>
      <c r="C19" s="147">
        <v>-69170.4</v>
      </c>
      <c r="D19" s="147"/>
      <c r="E19" s="148">
        <f t="shared" si="0"/>
        <v>-235340.75</v>
      </c>
      <c r="F19" s="152">
        <f t="shared" si="1"/>
        <v>-0.021639615434220143</v>
      </c>
      <c r="H19" s="5"/>
    </row>
    <row r="20" spans="1:8" ht="12.75">
      <c r="A20" s="5" t="s">
        <v>161</v>
      </c>
      <c r="B20" s="147">
        <v>3531608.71</v>
      </c>
      <c r="C20" s="147">
        <f>3124171.24+460449.2+146290.08+340692.3+171375+98197.5+617707.79+239671.95+457886.4+64205.88+79786.35+227151.45+99397.2+216161.25+57520.83+3380.95</f>
        <v>6404045.370000001</v>
      </c>
      <c r="D20" s="147">
        <v>3289821.76</v>
      </c>
      <c r="E20" s="148">
        <f t="shared" si="0"/>
        <v>13225475.840000002</v>
      </c>
      <c r="F20" s="152">
        <f t="shared" si="1"/>
        <v>1.2160843845027671</v>
      </c>
      <c r="H20" s="5"/>
    </row>
    <row r="21" spans="1:8" ht="12.75">
      <c r="A21" s="5" t="s">
        <v>592</v>
      </c>
      <c r="B21" s="147"/>
      <c r="C21" s="147"/>
      <c r="D21" s="147">
        <v>10000</v>
      </c>
      <c r="E21" s="148">
        <f t="shared" si="0"/>
        <v>10000</v>
      </c>
      <c r="F21" s="152">
        <f>(E21/$E$96)*100</f>
        <v>0.0009195014222662306</v>
      </c>
      <c r="H21" s="5"/>
    </row>
    <row r="22" spans="1:6" ht="12.75">
      <c r="A22" s="5" t="s">
        <v>51</v>
      </c>
      <c r="B22" s="147"/>
      <c r="C22" s="147">
        <v>80900</v>
      </c>
      <c r="D22" s="147"/>
      <c r="E22" s="148">
        <f t="shared" si="0"/>
        <v>80900</v>
      </c>
      <c r="F22" s="152">
        <f t="shared" si="1"/>
        <v>0.007438766506133806</v>
      </c>
    </row>
    <row r="23" spans="1:9" ht="12.75">
      <c r="A23" s="5" t="s">
        <v>52</v>
      </c>
      <c r="B23" s="147">
        <v>13600</v>
      </c>
      <c r="C23" s="147">
        <v>214800</v>
      </c>
      <c r="D23" s="147">
        <v>425969.75</v>
      </c>
      <c r="E23" s="148">
        <f t="shared" si="0"/>
        <v>654369.75</v>
      </c>
      <c r="F23" s="152">
        <f t="shared" si="1"/>
        <v>0.060169391581299775</v>
      </c>
      <c r="H23" s="5"/>
      <c r="I23" s="147"/>
    </row>
    <row r="24" spans="1:8" ht="12.75">
      <c r="A24" s="5" t="s">
        <v>53</v>
      </c>
      <c r="B24" s="147">
        <v>96539.63</v>
      </c>
      <c r="C24" s="147">
        <v>175150.17</v>
      </c>
      <c r="D24" s="147">
        <v>455364.2</v>
      </c>
      <c r="E24" s="148">
        <f t="shared" si="0"/>
        <v>727054</v>
      </c>
      <c r="F24" s="152">
        <f t="shared" si="1"/>
        <v>0.06685271870643521</v>
      </c>
      <c r="H24" s="5"/>
    </row>
    <row r="25" spans="1:8" ht="12.75">
      <c r="A25" s="5" t="s">
        <v>54</v>
      </c>
      <c r="B25" s="147">
        <v>55641.75</v>
      </c>
      <c r="C25" s="147">
        <v>108580.5</v>
      </c>
      <c r="D25" s="147">
        <v>1852218.4</v>
      </c>
      <c r="E25" s="148">
        <f t="shared" si="0"/>
        <v>2016440.65</v>
      </c>
      <c r="F25" s="152">
        <f t="shared" si="1"/>
        <v>0.18541200455904425</v>
      </c>
      <c r="H25" s="5"/>
    </row>
    <row r="26" spans="1:8" ht="12.75">
      <c r="A26" s="5" t="s">
        <v>55</v>
      </c>
      <c r="B26" s="147">
        <v>9400</v>
      </c>
      <c r="C26" s="147"/>
      <c r="D26" s="147">
        <v>7641.61</v>
      </c>
      <c r="E26" s="148">
        <f t="shared" si="0"/>
        <v>17041.61</v>
      </c>
      <c r="F26" s="152">
        <f t="shared" si="1"/>
        <v>0.0015669784632706418</v>
      </c>
      <c r="H26" s="5"/>
    </row>
    <row r="27" spans="1:8" ht="12.75">
      <c r="A27" s="5" t="s">
        <v>56</v>
      </c>
      <c r="B27" s="147">
        <v>1700</v>
      </c>
      <c r="C27" s="147">
        <v>1200</v>
      </c>
      <c r="D27" s="147">
        <v>54268</v>
      </c>
      <c r="E27" s="148">
        <f t="shared" si="0"/>
        <v>57168</v>
      </c>
      <c r="F27" s="152">
        <f t="shared" si="1"/>
        <v>0.005256605730811588</v>
      </c>
      <c r="H27" s="5"/>
    </row>
    <row r="28" spans="1:8" ht="12.75">
      <c r="A28" s="5" t="s">
        <v>316</v>
      </c>
      <c r="B28" s="147">
        <v>774197.44</v>
      </c>
      <c r="C28" s="147">
        <v>999596.45</v>
      </c>
      <c r="D28" s="147">
        <v>884174.87</v>
      </c>
      <c r="E28" s="148">
        <f t="shared" si="0"/>
        <v>2657968.76</v>
      </c>
      <c r="F28" s="152">
        <f t="shared" si="1"/>
        <v>0.2444006055159209</v>
      </c>
      <c r="H28" s="5"/>
    </row>
    <row r="29" spans="1:8" ht="12.75">
      <c r="A29" s="5" t="s">
        <v>415</v>
      </c>
      <c r="B29" s="147">
        <v>380786.33</v>
      </c>
      <c r="C29" s="147">
        <v>380786.33</v>
      </c>
      <c r="D29" s="147">
        <v>380786.33</v>
      </c>
      <c r="E29" s="148">
        <f t="shared" si="0"/>
        <v>1142358.99</v>
      </c>
      <c r="F29" s="152">
        <f t="shared" si="1"/>
        <v>0.10504007160436148</v>
      </c>
      <c r="H29" s="5"/>
    </row>
    <row r="30" spans="1:8" ht="12.75">
      <c r="A30" s="5" t="s">
        <v>430</v>
      </c>
      <c r="B30" s="147"/>
      <c r="C30" s="147">
        <v>83160</v>
      </c>
      <c r="D30" s="1"/>
      <c r="E30" s="148">
        <f t="shared" si="0"/>
        <v>83160</v>
      </c>
      <c r="F30" s="152">
        <f t="shared" si="1"/>
        <v>0.007646573827565974</v>
      </c>
      <c r="H30" s="5"/>
    </row>
    <row r="31" spans="1:9" ht="12.75">
      <c r="A31" s="5" t="s">
        <v>57</v>
      </c>
      <c r="B31" s="147">
        <v>53130</v>
      </c>
      <c r="C31" s="147">
        <v>26565</v>
      </c>
      <c r="D31" s="147"/>
      <c r="E31" s="148">
        <f t="shared" si="0"/>
        <v>79695</v>
      </c>
      <c r="F31" s="152">
        <f t="shared" si="1"/>
        <v>0.007327966584750724</v>
      </c>
      <c r="H31" s="5"/>
      <c r="I31" s="147"/>
    </row>
    <row r="32" spans="1:9" ht="12.75">
      <c r="A32" s="5" t="s">
        <v>346</v>
      </c>
      <c r="B32" s="147"/>
      <c r="C32" s="147">
        <v>423075.83</v>
      </c>
      <c r="D32" s="147">
        <v>131156.1</v>
      </c>
      <c r="E32" s="148">
        <f t="shared" si="0"/>
        <v>554231.93</v>
      </c>
      <c r="F32" s="152">
        <f t="shared" si="1"/>
        <v>0.050961704790035804</v>
      </c>
      <c r="H32" s="5"/>
      <c r="I32" s="147"/>
    </row>
    <row r="33" spans="1:8" ht="12.75">
      <c r="A33" s="5" t="s">
        <v>58</v>
      </c>
      <c r="B33" s="147">
        <v>116015.81</v>
      </c>
      <c r="C33" s="147">
        <v>79282.72</v>
      </c>
      <c r="D33" s="147">
        <v>1324169.82</v>
      </c>
      <c r="E33" s="148">
        <f t="shared" si="0"/>
        <v>1519468.35</v>
      </c>
      <c r="F33" s="152">
        <f t="shared" si="1"/>
        <v>0.13971533089135227</v>
      </c>
      <c r="H33" s="5"/>
    </row>
    <row r="34" spans="1:8" ht="12.75">
      <c r="A34" s="5" t="s">
        <v>416</v>
      </c>
      <c r="B34" s="147">
        <v>167620</v>
      </c>
      <c r="C34" s="147"/>
      <c r="D34" s="147"/>
      <c r="E34" s="148">
        <f t="shared" si="0"/>
        <v>167620</v>
      </c>
      <c r="F34" s="152">
        <f t="shared" si="1"/>
        <v>0.015412682840026557</v>
      </c>
      <c r="H34" s="5"/>
    </row>
    <row r="35" spans="1:8" ht="12.75">
      <c r="A35" s="5" t="s">
        <v>129</v>
      </c>
      <c r="B35" s="147">
        <v>1600</v>
      </c>
      <c r="C35" s="147">
        <v>40800</v>
      </c>
      <c r="D35" s="147">
        <v>95969.74</v>
      </c>
      <c r="E35" s="148">
        <f t="shared" si="0"/>
        <v>138369.74</v>
      </c>
      <c r="F35" s="152">
        <f t="shared" si="1"/>
        <v>0.012723117272860855</v>
      </c>
      <c r="H35" s="5"/>
    </row>
    <row r="36" spans="1:8" ht="12.75">
      <c r="A36" s="5" t="s">
        <v>291</v>
      </c>
      <c r="B36" s="147">
        <v>5181013.59</v>
      </c>
      <c r="C36" s="147">
        <v>10439521.86</v>
      </c>
      <c r="D36" s="147"/>
      <c r="E36" s="148">
        <f t="shared" si="0"/>
        <v>15620535.45</v>
      </c>
      <c r="F36" s="152">
        <f t="shared" si="1"/>
        <v>1.4363104562835074</v>
      </c>
      <c r="H36" s="5"/>
    </row>
    <row r="37" spans="1:6" ht="6.75" customHeight="1">
      <c r="A37" s="5"/>
      <c r="B37" s="147"/>
      <c r="C37" s="147"/>
      <c r="D37" s="147"/>
      <c r="E37" s="148"/>
      <c r="F37" s="152"/>
    </row>
    <row r="38" spans="1:7" ht="12.75">
      <c r="A38" s="17" t="s">
        <v>201</v>
      </c>
      <c r="B38" s="149">
        <f>SUM(B9:B36)</f>
        <v>46349173.78999999</v>
      </c>
      <c r="C38" s="149">
        <f>SUM(C9:C36)</f>
        <v>113375243.00999999</v>
      </c>
      <c r="D38" s="149">
        <f>SUM(D9:D36)</f>
        <v>51653323.169999994</v>
      </c>
      <c r="E38" s="149">
        <f>SUM(E9:E36)</f>
        <v>211377739.97000003</v>
      </c>
      <c r="F38" s="149">
        <f>SUM(F9:F36)</f>
        <v>19.436213253783638</v>
      </c>
      <c r="G38" s="16"/>
    </row>
    <row r="39" spans="2:8" ht="12.75" customHeight="1">
      <c r="B39" s="88"/>
      <c r="C39" s="88"/>
      <c r="D39" s="88"/>
      <c r="E39" s="356"/>
      <c r="F39" s="356"/>
      <c r="H39" s="195"/>
    </row>
    <row r="40" spans="1:7" ht="12.75" customHeight="1">
      <c r="A40" s="227" t="s">
        <v>651</v>
      </c>
      <c r="B40" s="178"/>
      <c r="C40" s="178"/>
      <c r="D40" s="178"/>
      <c r="E40" s="64"/>
      <c r="F40" s="65"/>
      <c r="G40" s="9" t="s">
        <v>22</v>
      </c>
    </row>
    <row r="41" spans="1:6" ht="3.75" customHeight="1">
      <c r="A41" s="64"/>
      <c r="B41" s="178"/>
      <c r="C41" s="178"/>
      <c r="D41" s="178"/>
      <c r="E41" s="64"/>
      <c r="F41" s="65"/>
    </row>
    <row r="42" spans="1:6" ht="12.75">
      <c r="A42" s="41" t="s">
        <v>442</v>
      </c>
      <c r="B42" s="147">
        <v>19673.52</v>
      </c>
      <c r="C42" s="147">
        <v>12239.91</v>
      </c>
      <c r="D42" s="147">
        <v>38278.48</v>
      </c>
      <c r="E42" s="148">
        <f>SUM(B42:D42)</f>
        <v>70191.91</v>
      </c>
      <c r="F42" s="252">
        <f>(E42/$E$96)*100</f>
        <v>0.006454156107658326</v>
      </c>
    </row>
    <row r="43" spans="1:8" ht="12.75">
      <c r="A43" s="5" t="s">
        <v>195</v>
      </c>
      <c r="B43" s="147">
        <v>680000</v>
      </c>
      <c r="C43" s="147">
        <v>255000</v>
      </c>
      <c r="D43" s="147"/>
      <c r="E43" s="148">
        <f>SUM(B43:D43)</f>
        <v>935000</v>
      </c>
      <c r="F43" s="252">
        <f>(E43/$E$96)*100</f>
        <v>0.08597338298189255</v>
      </c>
      <c r="H43" s="147"/>
    </row>
    <row r="44" spans="1:6" ht="12.75">
      <c r="A44" s="5" t="s">
        <v>194</v>
      </c>
      <c r="B44" s="147">
        <v>1155000</v>
      </c>
      <c r="C44" s="147">
        <f>680000-10000</f>
        <v>670000</v>
      </c>
      <c r="D44" s="147">
        <v>345000</v>
      </c>
      <c r="E44" s="148">
        <f>SUM(B44:D44)</f>
        <v>2170000</v>
      </c>
      <c r="F44" s="252">
        <f>(E44/$E$96)*100</f>
        <v>0.19953180863177206</v>
      </c>
    </row>
    <row r="45" spans="1:8" ht="12.75">
      <c r="A45" s="5" t="s">
        <v>513</v>
      </c>
      <c r="B45" s="147">
        <v>255587.22</v>
      </c>
      <c r="C45" s="147"/>
      <c r="D45" s="147"/>
      <c r="E45" s="148">
        <f>SUM(B45:D45)</f>
        <v>255587.22</v>
      </c>
      <c r="F45" s="252">
        <f>(E45/$E$96)*100</f>
        <v>0.0235012812303072</v>
      </c>
      <c r="H45" s="147"/>
    </row>
    <row r="46" spans="1:6" ht="12.75">
      <c r="A46" s="5" t="s">
        <v>608</v>
      </c>
      <c r="B46" s="147">
        <v>34000</v>
      </c>
      <c r="C46" s="147"/>
      <c r="D46" s="147">
        <v>5000</v>
      </c>
      <c r="E46" s="148">
        <f>SUM(B46:D46)</f>
        <v>39000</v>
      </c>
      <c r="F46" s="252">
        <f>(E46/$E$96)*100</f>
        <v>0.0035860555468382994</v>
      </c>
    </row>
    <row r="47" spans="1:6" ht="5.25" customHeight="1">
      <c r="A47" s="147"/>
      <c r="B47" s="147"/>
      <c r="C47" s="147"/>
      <c r="D47" s="147"/>
      <c r="E47" s="148"/>
      <c r="F47" s="252"/>
    </row>
    <row r="48" spans="1:6" ht="12.75">
      <c r="A48" s="227" t="s">
        <v>238</v>
      </c>
      <c r="B48" s="131">
        <f>SUM(B42:B47)</f>
        <v>2144260.74</v>
      </c>
      <c r="C48" s="131">
        <f>SUM(C42:C47)</f>
        <v>937239.9099999999</v>
      </c>
      <c r="D48" s="131">
        <f>SUM(D42:D47)</f>
        <v>388278.48</v>
      </c>
      <c r="E48" s="131">
        <f>SUM(E42:E47)</f>
        <v>3469779.1300000004</v>
      </c>
      <c r="F48" s="131">
        <f>SUM(F42:F47)</f>
        <v>0.3190466844984684</v>
      </c>
    </row>
    <row r="49" spans="5:6" ht="15" customHeight="1">
      <c r="E49" s="37"/>
      <c r="F49" s="199"/>
    </row>
    <row r="50" spans="1:6" ht="12.75">
      <c r="A50" s="227" t="s">
        <v>652</v>
      </c>
      <c r="B50" s="29"/>
      <c r="C50" s="29"/>
      <c r="D50" s="29"/>
      <c r="E50" s="30"/>
      <c r="F50" s="253"/>
    </row>
    <row r="51" spans="1:6" ht="5.25" customHeight="1">
      <c r="A51" s="2"/>
      <c r="B51" s="29"/>
      <c r="C51" s="29"/>
      <c r="D51" s="29"/>
      <c r="E51" s="30"/>
      <c r="F51" s="253"/>
    </row>
    <row r="52" spans="1:7" ht="12.75">
      <c r="A52" s="17" t="s">
        <v>196</v>
      </c>
      <c r="B52" s="29"/>
      <c r="C52" s="29"/>
      <c r="D52" s="29"/>
      <c r="E52" s="148"/>
      <c r="F52" s="252"/>
      <c r="G52" s="9" t="s">
        <v>22</v>
      </c>
    </row>
    <row r="53" spans="1:6" ht="12.75">
      <c r="A53" s="5" t="s">
        <v>193</v>
      </c>
      <c r="B53" s="147">
        <v>-23595.25</v>
      </c>
      <c r="C53" s="147">
        <f>-296314.82-2500-387382-62625-187875-241500-21015</f>
        <v>-1199211.82</v>
      </c>
      <c r="D53" s="147"/>
      <c r="E53" s="148">
        <f>SUM(B53:D53)</f>
        <v>-1222807.07</v>
      </c>
      <c r="F53" s="252">
        <f>(E53/$E$96)*100</f>
        <v>-0.11243728400222024</v>
      </c>
    </row>
    <row r="54" spans="1:7" ht="12.75">
      <c r="A54" s="17" t="s">
        <v>315</v>
      </c>
      <c r="B54" s="147"/>
      <c r="C54" s="147"/>
      <c r="D54" s="147"/>
      <c r="E54" s="148"/>
      <c r="F54" s="252"/>
      <c r="G54" s="9" t="s">
        <v>22</v>
      </c>
    </row>
    <row r="55" spans="1:6" ht="12.75">
      <c r="A55" s="5" t="s">
        <v>314</v>
      </c>
      <c r="B55" s="147">
        <v>442450</v>
      </c>
      <c r="C55" s="147">
        <v>267200</v>
      </c>
      <c r="D55" s="147"/>
      <c r="E55" s="148">
        <f>SUM(B55:D55)</f>
        <v>709650</v>
      </c>
      <c r="F55" s="252">
        <f>(E55/$E$96)*100</f>
        <v>0.06525241843112306</v>
      </c>
    </row>
    <row r="56" spans="1:6" ht="6.75" customHeight="1">
      <c r="A56" s="5"/>
      <c r="B56" s="183"/>
      <c r="C56" s="183"/>
      <c r="D56" s="183"/>
      <c r="E56" s="232"/>
      <c r="F56" s="254"/>
    </row>
    <row r="57" spans="1:6" ht="12.75">
      <c r="A57" s="227" t="s">
        <v>351</v>
      </c>
      <c r="B57" s="137">
        <f>SUM(B52:B56)</f>
        <v>418854.75</v>
      </c>
      <c r="C57" s="137">
        <f>SUM(C52:C56)</f>
        <v>-932011.8200000001</v>
      </c>
      <c r="D57" s="137">
        <f>SUM(D52:D56)</f>
        <v>0</v>
      </c>
      <c r="E57" s="137">
        <f>SUM(E52:E56)</f>
        <v>-513157.07000000007</v>
      </c>
      <c r="F57" s="137">
        <f>SUM(F52:F56)</f>
        <v>-0.047184865571097176</v>
      </c>
    </row>
    <row r="58" spans="1:6" ht="6" customHeight="1">
      <c r="A58" s="34"/>
      <c r="B58" s="150"/>
      <c r="C58" s="150"/>
      <c r="D58" s="150"/>
      <c r="E58" s="150"/>
      <c r="F58" s="255"/>
    </row>
    <row r="59" spans="1:6" ht="12.75">
      <c r="A59" s="17" t="s">
        <v>367</v>
      </c>
      <c r="B59" s="149">
        <f>B48+B57</f>
        <v>2563115.49</v>
      </c>
      <c r="C59" s="149">
        <f>C48+C57</f>
        <v>5228.089999999851</v>
      </c>
      <c r="D59" s="149">
        <f>D48+D57</f>
        <v>388278.48</v>
      </c>
      <c r="E59" s="149">
        <f>E48+E57</f>
        <v>2956622.0600000005</v>
      </c>
      <c r="F59" s="149">
        <f>F48+F57</f>
        <v>0.2718618189273712</v>
      </c>
    </row>
    <row r="60" spans="2:6" ht="15" customHeight="1">
      <c r="B60" s="29"/>
      <c r="C60" s="29"/>
      <c r="D60" s="29"/>
      <c r="E60" s="30"/>
      <c r="F60" s="253"/>
    </row>
    <row r="61" spans="1:6" ht="12.75">
      <c r="A61" s="227" t="s">
        <v>653</v>
      </c>
      <c r="B61" s="29"/>
      <c r="C61" s="29"/>
      <c r="D61" s="29"/>
      <c r="E61" s="30"/>
      <c r="F61" s="253"/>
    </row>
    <row r="62" spans="1:6" ht="5.25" customHeight="1">
      <c r="A62" s="64"/>
      <c r="B62" s="178"/>
      <c r="C62" s="178"/>
      <c r="D62" s="178"/>
      <c r="E62" s="64"/>
      <c r="F62" s="65"/>
    </row>
    <row r="63" spans="1:7" ht="12.75">
      <c r="A63" s="17" t="s">
        <v>366</v>
      </c>
      <c r="B63" s="29"/>
      <c r="C63" s="29"/>
      <c r="D63" s="29"/>
      <c r="E63" s="30"/>
      <c r="G63" s="9" t="s">
        <v>22</v>
      </c>
    </row>
    <row r="64" spans="1:6" ht="12.75">
      <c r="A64" s="5" t="s">
        <v>217</v>
      </c>
      <c r="B64" s="147">
        <v>672325.71</v>
      </c>
      <c r="C64" s="147">
        <f>300000+2474692.92</f>
        <v>2774692.92</v>
      </c>
      <c r="D64" s="147"/>
      <c r="E64" s="148">
        <f>SUM(B64:D64)</f>
        <v>3447018.63</v>
      </c>
      <c r="F64" s="252">
        <f>(E64/$E$96)*100</f>
        <v>0.31695385328631936</v>
      </c>
    </row>
    <row r="65" spans="1:6" ht="6.75" customHeight="1">
      <c r="A65" s="5"/>
      <c r="B65" s="147"/>
      <c r="C65" s="147"/>
      <c r="D65" s="147"/>
      <c r="E65" s="148"/>
      <c r="F65" s="252"/>
    </row>
    <row r="66" spans="1:7" ht="12.75">
      <c r="A66" s="17" t="s">
        <v>218</v>
      </c>
      <c r="B66" s="147"/>
      <c r="C66" s="147"/>
      <c r="D66" s="147"/>
      <c r="E66" s="148"/>
      <c r="F66" s="252"/>
      <c r="G66" s="9" t="s">
        <v>22</v>
      </c>
    </row>
    <row r="67" spans="1:6" ht="12.75">
      <c r="A67" s="5" t="s">
        <v>609</v>
      </c>
      <c r="B67" s="147">
        <v>120090</v>
      </c>
      <c r="C67" s="147">
        <v>113791</v>
      </c>
      <c r="D67" s="147">
        <v>99031</v>
      </c>
      <c r="E67" s="148">
        <f>SUM(B67:D67)</f>
        <v>332912</v>
      </c>
      <c r="F67" s="252">
        <f>(E67/$E$96)*100</f>
        <v>0.030611305748949536</v>
      </c>
    </row>
    <row r="68" spans="1:6" ht="12.75">
      <c r="A68" s="5" t="s">
        <v>610</v>
      </c>
      <c r="B68" s="147">
        <v>48329</v>
      </c>
      <c r="C68" s="147">
        <v>37695</v>
      </c>
      <c r="D68" s="147">
        <v>246106</v>
      </c>
      <c r="E68" s="148">
        <f>SUM(B68:D68)</f>
        <v>332130</v>
      </c>
      <c r="F68" s="252">
        <f>(E68/$E$96)*100</f>
        <v>0.03053940073772832</v>
      </c>
    </row>
    <row r="69" spans="1:6" ht="12.75">
      <c r="A69" s="5" t="s">
        <v>611</v>
      </c>
      <c r="B69" s="147">
        <v>27967</v>
      </c>
      <c r="C69" s="147">
        <v>14669</v>
      </c>
      <c r="D69" s="147">
        <v>27122</v>
      </c>
      <c r="E69" s="148">
        <f>SUM(B69:D69)</f>
        <v>69758</v>
      </c>
      <c r="F69" s="252">
        <f>(E69/$E$96)*100</f>
        <v>0.006414258021444772</v>
      </c>
    </row>
    <row r="70" spans="1:8" ht="6.75" customHeight="1">
      <c r="A70" s="5"/>
      <c r="B70" s="147"/>
      <c r="C70" s="285"/>
      <c r="D70" s="147"/>
      <c r="E70" s="148"/>
      <c r="F70" s="252"/>
      <c r="H70" s="147"/>
    </row>
    <row r="71" spans="1:8" ht="12.75">
      <c r="A71" s="17" t="s">
        <v>446</v>
      </c>
      <c r="B71" s="147"/>
      <c r="C71" s="285"/>
      <c r="D71" s="147"/>
      <c r="E71" s="148"/>
      <c r="F71" s="252"/>
      <c r="G71" s="9" t="s">
        <v>22</v>
      </c>
      <c r="H71" s="147"/>
    </row>
    <row r="72" spans="1:6" ht="12.75">
      <c r="A72" s="5" t="s">
        <v>446</v>
      </c>
      <c r="B72" s="147">
        <v>-230447.57</v>
      </c>
      <c r="C72" s="147">
        <v>440589.88</v>
      </c>
      <c r="D72" s="147">
        <v>-121519.58</v>
      </c>
      <c r="E72" s="148">
        <f>SUM(B72:D72)</f>
        <v>88622.73</v>
      </c>
      <c r="F72" s="252">
        <f>(E72/$E$96)*100</f>
        <v>0.008148872628011615</v>
      </c>
    </row>
    <row r="73" spans="1:8" ht="7.5" customHeight="1">
      <c r="A73" s="5"/>
      <c r="B73" s="147"/>
      <c r="C73" s="147"/>
      <c r="D73" s="147"/>
      <c r="E73" s="148"/>
      <c r="F73" s="252"/>
      <c r="H73" s="147"/>
    </row>
    <row r="74" spans="1:8" ht="12.75">
      <c r="A74" s="17" t="s">
        <v>192</v>
      </c>
      <c r="B74" s="57"/>
      <c r="C74" s="147"/>
      <c r="D74" s="147"/>
      <c r="E74" s="148"/>
      <c r="F74" s="252"/>
      <c r="G74" s="9" t="s">
        <v>22</v>
      </c>
      <c r="H74" s="57"/>
    </row>
    <row r="75" spans="1:6" ht="12.75">
      <c r="A75" s="5" t="s">
        <v>381</v>
      </c>
      <c r="B75" s="147">
        <v>750000</v>
      </c>
      <c r="C75" s="147">
        <v>6429505.74</v>
      </c>
      <c r="D75" s="147">
        <v>318843.9</v>
      </c>
      <c r="E75" s="148">
        <f aca="true" t="shared" si="2" ref="E75:E80">SUM(B75:D75)</f>
        <v>7498349.640000001</v>
      </c>
      <c r="F75" s="252">
        <f aca="true" t="shared" si="3" ref="F75:F80">(E75/$E$96)*100</f>
        <v>0.6894743158629479</v>
      </c>
    </row>
    <row r="76" spans="1:7" ht="12.75">
      <c r="A76" s="5" t="s">
        <v>382</v>
      </c>
      <c r="B76" s="147">
        <v>1187970.09</v>
      </c>
      <c r="C76" s="147">
        <v>1953522.44</v>
      </c>
      <c r="D76" s="147">
        <v>360902.03</v>
      </c>
      <c r="E76" s="148">
        <f t="shared" si="2"/>
        <v>3502394.5600000005</v>
      </c>
      <c r="F76" s="252">
        <f t="shared" si="3"/>
        <v>0.32204567792575095</v>
      </c>
      <c r="G76" s="9"/>
    </row>
    <row r="77" spans="1:7" ht="12.75">
      <c r="A77" s="5" t="s">
        <v>59</v>
      </c>
      <c r="B77" s="147">
        <v>2762161.89</v>
      </c>
      <c r="C77" s="147">
        <v>2662505.52</v>
      </c>
      <c r="D77" s="147">
        <v>2570575.18</v>
      </c>
      <c r="E77" s="148">
        <f t="shared" si="2"/>
        <v>7995242.59</v>
      </c>
      <c r="F77" s="252">
        <f t="shared" si="3"/>
        <v>0.7351636932868542</v>
      </c>
      <c r="G77" s="9"/>
    </row>
    <row r="78" spans="1:7" ht="12.75">
      <c r="A78" s="5" t="s">
        <v>215</v>
      </c>
      <c r="B78" s="147">
        <v>12738.62</v>
      </c>
      <c r="C78" s="147">
        <v>124602.41</v>
      </c>
      <c r="D78" s="147">
        <v>91462.15</v>
      </c>
      <c r="E78" s="148">
        <f t="shared" si="2"/>
        <v>228803.18</v>
      </c>
      <c r="F78" s="252">
        <f t="shared" si="3"/>
        <v>0.021038484942903637</v>
      </c>
      <c r="G78" s="9"/>
    </row>
    <row r="79" spans="1:7" ht="12.75">
      <c r="A79" s="5" t="s">
        <v>216</v>
      </c>
      <c r="B79" s="147">
        <v>593806.11</v>
      </c>
      <c r="C79" s="147">
        <v>602543.77</v>
      </c>
      <c r="D79" s="147">
        <v>586029.84</v>
      </c>
      <c r="E79" s="148">
        <f t="shared" si="2"/>
        <v>1782379.7199999997</v>
      </c>
      <c r="F79" s="252">
        <f t="shared" si="3"/>
        <v>0.16389006875584855</v>
      </c>
      <c r="G79" s="9"/>
    </row>
    <row r="80" spans="1:7" ht="12.75">
      <c r="A80" s="5" t="s">
        <v>292</v>
      </c>
      <c r="B80" s="147">
        <v>5181013.59</v>
      </c>
      <c r="C80" s="147">
        <v>10439521.86</v>
      </c>
      <c r="D80" s="147"/>
      <c r="E80" s="148">
        <f t="shared" si="2"/>
        <v>15620535.45</v>
      </c>
      <c r="F80" s="252">
        <f t="shared" si="3"/>
        <v>1.4363104562835074</v>
      </c>
      <c r="G80" s="9"/>
    </row>
    <row r="81" spans="1:7" ht="7.5" customHeight="1">
      <c r="A81" s="5"/>
      <c r="B81" s="147"/>
      <c r="C81" s="147"/>
      <c r="D81" s="147"/>
      <c r="E81" s="148"/>
      <c r="F81" s="252"/>
      <c r="G81" s="9"/>
    </row>
    <row r="82" spans="1:7" ht="12.75">
      <c r="A82" s="17" t="s">
        <v>431</v>
      </c>
      <c r="B82" s="147"/>
      <c r="C82" s="147"/>
      <c r="D82" s="147"/>
      <c r="E82" s="148"/>
      <c r="F82" s="252"/>
      <c r="G82" s="9" t="s">
        <v>22</v>
      </c>
    </row>
    <row r="83" spans="1:8" ht="12.75">
      <c r="A83" s="5" t="s">
        <v>431</v>
      </c>
      <c r="B83" s="147"/>
      <c r="C83" s="147">
        <v>540</v>
      </c>
      <c r="D83" s="147"/>
      <c r="E83" s="148">
        <f>SUM(B83:D83)</f>
        <v>540</v>
      </c>
      <c r="F83" s="252">
        <f>(E83/$E$96)*100</f>
        <v>4.965307680237645E-05</v>
      </c>
      <c r="G83" s="9"/>
      <c r="H83" s="88"/>
    </row>
    <row r="84" spans="1:6" ht="5.25" customHeight="1">
      <c r="A84" s="147"/>
      <c r="B84" s="147"/>
      <c r="C84" s="147"/>
      <c r="D84" s="147"/>
      <c r="E84" s="148"/>
      <c r="F84" s="252"/>
    </row>
    <row r="85" spans="1:6" ht="12.75">
      <c r="A85" s="227" t="s">
        <v>236</v>
      </c>
      <c r="B85" s="131">
        <f>SUM(B64:B84)</f>
        <v>11125954.440000001</v>
      </c>
      <c r="C85" s="131">
        <f>SUM(C64:C84)</f>
        <v>25594179.54</v>
      </c>
      <c r="D85" s="131">
        <f>SUM(D64:D84)</f>
        <v>4178552.52</v>
      </c>
      <c r="E85" s="131">
        <f>SUM(E64:E84)</f>
        <v>40898686.5</v>
      </c>
      <c r="F85" s="131">
        <f>SUM(F64:F84)</f>
        <v>3.7606400405570684</v>
      </c>
    </row>
    <row r="86" spans="2:6" ht="15.75" customHeight="1">
      <c r="B86" s="88"/>
      <c r="C86" s="88"/>
      <c r="D86" s="88"/>
      <c r="E86" s="88"/>
      <c r="F86" s="160"/>
    </row>
    <row r="87" spans="1:7" ht="12.75">
      <c r="A87" s="227" t="s">
        <v>654</v>
      </c>
      <c r="B87" s="147"/>
      <c r="C87" s="147"/>
      <c r="D87" s="147"/>
      <c r="E87" s="148"/>
      <c r="F87" s="252"/>
      <c r="G87" s="9" t="s">
        <v>22</v>
      </c>
    </row>
    <row r="88" spans="1:6" ht="4.5" customHeight="1">
      <c r="A88" s="64"/>
      <c r="B88" s="178"/>
      <c r="C88" s="178"/>
      <c r="D88" s="178"/>
      <c r="E88" s="64"/>
      <c r="F88" s="65"/>
    </row>
    <row r="89" spans="1:7" ht="12.75">
      <c r="A89" s="5" t="s">
        <v>479</v>
      </c>
      <c r="B89" s="147">
        <v>161294327.01</v>
      </c>
      <c r="C89" s="147">
        <v>168488568.94</v>
      </c>
      <c r="D89" s="147">
        <v>160444495.88</v>
      </c>
      <c r="E89" s="148">
        <f>SUM(B89:D89)</f>
        <v>490227391.83</v>
      </c>
      <c r="F89" s="252">
        <f>(E89/$E$96)*100</f>
        <v>45.076478402154976</v>
      </c>
      <c r="G89" s="9"/>
    </row>
    <row r="90" spans="1:7" ht="12.75">
      <c r="A90" s="5" t="s">
        <v>532</v>
      </c>
      <c r="B90" s="147"/>
      <c r="C90" s="147">
        <v>335799847.21</v>
      </c>
      <c r="D90" s="147"/>
      <c r="E90" s="148">
        <f>SUM(B90:D90)</f>
        <v>335799847.21</v>
      </c>
      <c r="F90" s="252">
        <f>(E90/$E$96)*100</f>
        <v>30.876843710637793</v>
      </c>
      <c r="G90" s="9"/>
    </row>
    <row r="91" spans="1:7" ht="12.75">
      <c r="A91" s="5" t="s">
        <v>481</v>
      </c>
      <c r="B91" s="147">
        <v>58022.75</v>
      </c>
      <c r="C91" s="147"/>
      <c r="D91" s="147"/>
      <c r="E91" s="148">
        <f>SUM(B91:D91)</f>
        <v>58022.75</v>
      </c>
      <c r="F91" s="252">
        <f>(E91/$E$96)*100</f>
        <v>0.005335200114879793</v>
      </c>
      <c r="G91" s="9"/>
    </row>
    <row r="92" spans="1:6" ht="12.75">
      <c r="A92" s="5" t="s">
        <v>480</v>
      </c>
      <c r="B92" s="147">
        <v>6227587.69</v>
      </c>
      <c r="C92" s="147"/>
      <c r="D92" s="147"/>
      <c r="E92" s="148">
        <f>SUM(B92:D92)</f>
        <v>6227587.69</v>
      </c>
      <c r="F92" s="252">
        <f>(E92/$E$96)*100</f>
        <v>0.572627573824267</v>
      </c>
    </row>
    <row r="93" spans="2:7" ht="5.25" customHeight="1">
      <c r="B93" s="147"/>
      <c r="C93" s="147"/>
      <c r="D93" s="147"/>
      <c r="E93" s="148"/>
      <c r="F93" s="252"/>
      <c r="G93" s="9"/>
    </row>
    <row r="94" spans="1:7" ht="12.75">
      <c r="A94" s="227" t="s">
        <v>237</v>
      </c>
      <c r="B94" s="149">
        <f>SUM(B89:B93)</f>
        <v>167579937.45</v>
      </c>
      <c r="C94" s="149">
        <f>SUM(C89:C93)</f>
        <v>504288416.15</v>
      </c>
      <c r="D94" s="149">
        <f>SUM(D89:D93)</f>
        <v>160444495.88</v>
      </c>
      <c r="E94" s="149">
        <f>SUM(E89:E93)</f>
        <v>832312849.48</v>
      </c>
      <c r="F94" s="149">
        <f>SUM(F89:F93)</f>
        <v>76.53128488673191</v>
      </c>
      <c r="G94" s="9"/>
    </row>
    <row r="95" spans="1:6" ht="7.5" customHeight="1">
      <c r="A95" s="5"/>
      <c r="B95" s="148"/>
      <c r="C95" s="148"/>
      <c r="D95" s="148"/>
      <c r="E95" s="148"/>
      <c r="F95" s="152"/>
    </row>
    <row r="96" spans="1:6" ht="13.5" thickBot="1">
      <c r="A96" s="227" t="s">
        <v>202</v>
      </c>
      <c r="B96" s="233">
        <f>SUM(B38+B59+B85+B94)</f>
        <v>227618181.17</v>
      </c>
      <c r="C96" s="233">
        <f>SUM(C38+C59+C85+C94)</f>
        <v>643263066.79</v>
      </c>
      <c r="D96" s="233">
        <f>SUM(D38+D59+D85+D94)</f>
        <v>216664650.04999998</v>
      </c>
      <c r="E96" s="233">
        <f>SUM(E38+E59+E85+E94)</f>
        <v>1087545898.01</v>
      </c>
      <c r="F96" s="234">
        <f>SUM(F38+F59+F85+F94)</f>
        <v>99.99999999999999</v>
      </c>
    </row>
    <row r="97" spans="1:6" ht="13.5" thickTop="1">
      <c r="A97" s="16"/>
      <c r="B97" s="28"/>
      <c r="C97" s="28"/>
      <c r="D97" s="28"/>
      <c r="E97" s="28"/>
      <c r="F97" s="240"/>
    </row>
    <row r="98" spans="1:4" ht="12.75">
      <c r="A98" s="73" t="s">
        <v>50</v>
      </c>
      <c r="D98" s="36"/>
    </row>
    <row r="99" spans="1:4" ht="3.75" customHeight="1">
      <c r="A99" s="8"/>
      <c r="D99" s="36"/>
    </row>
    <row r="100" spans="1:4" ht="12.75">
      <c r="A100" s="12" t="s">
        <v>385</v>
      </c>
      <c r="D100" s="147"/>
    </row>
    <row r="101" ht="12.75">
      <c r="D101" s="147"/>
    </row>
    <row r="102" ht="12.75">
      <c r="D102" s="147"/>
    </row>
    <row r="103" ht="12.75">
      <c r="D103" s="147"/>
    </row>
    <row r="112" ht="12.75">
      <c r="A112" s="12"/>
    </row>
  </sheetData>
  <sheetProtection/>
  <mergeCells count="6">
    <mergeCell ref="E39:F39"/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8661417322834646" header="0" footer="0.3937007874015748"/>
  <pageSetup fitToHeight="2" horizontalDpi="600" verticalDpi="600" orientation="portrait" scale="90" r:id="rId1"/>
  <headerFooter alignWithMargins="0">
    <oddFooter>&amp;R&amp;P de &amp;N</oddFooter>
  </headerFooter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Autonoma de Sin.</dc:creator>
  <cp:keywords/>
  <dc:description/>
  <cp:lastModifiedBy>Usuario</cp:lastModifiedBy>
  <cp:lastPrinted>2012-07-03T16:40:17Z</cp:lastPrinted>
  <dcterms:created xsi:type="dcterms:W3CDTF">2003-01-28T22:37:29Z</dcterms:created>
  <dcterms:modified xsi:type="dcterms:W3CDTF">2012-07-03T16:48:17Z</dcterms:modified>
  <cp:category/>
  <cp:version/>
  <cp:contentType/>
  <cp:contentStatus/>
</cp:coreProperties>
</file>