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1580" windowHeight="6810" tabRatio="954" firstSheet="3" activeTab="15"/>
  </bookViews>
  <sheets>
    <sheet name="Flujo" sheetId="1" r:id="rId1"/>
    <sheet name="Sub" sheetId="2" r:id="rId2"/>
    <sheet name="A.Sub " sheetId="3" r:id="rId3"/>
    <sheet name="Ing.Prop" sheetId="4" r:id="rId4"/>
    <sheet name="O.Ing.Prop" sheetId="5" r:id="rId5"/>
    <sheet name="O.Ing" sheetId="6" r:id="rId6"/>
    <sheet name="Proy.Esp" sheetId="7" r:id="rId7"/>
    <sheet name="Serv.Per" sheetId="8" r:id="rId8"/>
    <sheet name="Mat.Cons" sheetId="9" r:id="rId9"/>
    <sheet name="Serv.Grals" sheetId="10" r:id="rId10"/>
    <sheet name="Gto.Comp" sheetId="11" r:id="rId11"/>
    <sheet name="G.C.Op" sheetId="12" r:id="rId12"/>
    <sheet name="G.C.Viat" sheetId="13" r:id="rId13"/>
    <sheet name="G.C.Ing.Prop" sheetId="14" r:id="rId14"/>
    <sheet name="G.C.Donat" sheetId="15" r:id="rId15"/>
    <sheet name="G.C.Etiq" sheetId="16" r:id="rId16"/>
    <sheet name="OCT09" sheetId="17" r:id="rId17"/>
    <sheet name="NOV09" sheetId="18" r:id="rId18"/>
    <sheet name="DIC09" sheetId="19" r:id="rId19"/>
    <sheet name="ENE10" sheetId="20" r:id="rId20"/>
  </sheets>
  <definedNames>
    <definedName name="_xlnm.Print_Area" localSheetId="0">'Flujo'!$A$1:$H$53</definedName>
    <definedName name="_xlnm.Print_Area" localSheetId="11">'G.C.Op'!$A$1:$F$87</definedName>
    <definedName name="_xlnm.Print_Area" localSheetId="10">'Gto.Comp'!$A$1:$G$48</definedName>
    <definedName name="_xlnm.Print_Area" localSheetId="3">'Ing.Prop'!$A$1:$G$54</definedName>
    <definedName name="_xlnm.Print_Area" localSheetId="5">'O.Ing'!$A$1:$G$51</definedName>
    <definedName name="_xlnm.Print_Area" localSheetId="7">'Serv.Per'!$A$1:$G$104</definedName>
    <definedName name="_xlnm.Print_Titles" localSheetId="2">'A.Sub '!$1:$10</definedName>
    <definedName name="_xlnm.Print_Titles" localSheetId="18">'DIC09'!$1:$7</definedName>
    <definedName name="_xlnm.Print_Titles" localSheetId="19">'ENE10'!$1:$7</definedName>
    <definedName name="_xlnm.Print_Titles" localSheetId="13">'G.C.Ing.Prop'!$1:$8</definedName>
    <definedName name="_xlnm.Print_Titles" localSheetId="11">'G.C.Op'!$1:$8</definedName>
    <definedName name="_xlnm.Print_Titles" localSheetId="12">'G.C.Viat'!$1:$8</definedName>
    <definedName name="_xlnm.Print_Titles" localSheetId="17">'NOV09'!$1:$7</definedName>
    <definedName name="_xlnm.Print_Titles" localSheetId="16">'OCT09'!$1:$7</definedName>
    <definedName name="_xlnm.Print_Titles" localSheetId="7">'Serv.Per'!$1:$8</definedName>
  </definedNames>
  <calcPr fullCalcOnLoad="1"/>
</workbook>
</file>

<file path=xl/sharedStrings.xml><?xml version="1.0" encoding="utf-8"?>
<sst xmlns="http://schemas.openxmlformats.org/spreadsheetml/2006/main" count="1371" uniqueCount="614">
  <si>
    <t>C   O   N   C   E   P   T   O</t>
  </si>
  <si>
    <t>IMPORTE</t>
  </si>
  <si>
    <t>SUBSIDIOS</t>
  </si>
  <si>
    <t>Anexo I</t>
  </si>
  <si>
    <t>INGRESOS PROPIOS</t>
  </si>
  <si>
    <t>Anexo II</t>
  </si>
  <si>
    <t>OTROS TIPOS DE INGRESOS PROPIOS</t>
  </si>
  <si>
    <t>Anexo III</t>
  </si>
  <si>
    <t>Anexo IV</t>
  </si>
  <si>
    <t>OTROS INGRESOS</t>
  </si>
  <si>
    <t>Anexo V</t>
  </si>
  <si>
    <t xml:space="preserve">SERVICIOS PERSONALES </t>
  </si>
  <si>
    <t>Anexo VI</t>
  </si>
  <si>
    <t>MATERIALES DE CONSUMO</t>
  </si>
  <si>
    <t>Anexo VII</t>
  </si>
  <si>
    <t>SERVICIOS GENERALES</t>
  </si>
  <si>
    <t>Anexo VIII</t>
  </si>
  <si>
    <t>GASTOS A COMPROBAR</t>
  </si>
  <si>
    <t>Anexo IX</t>
  </si>
  <si>
    <t xml:space="preserve">S   u   b   c   u   e   n   t   a    </t>
  </si>
  <si>
    <t>Total</t>
  </si>
  <si>
    <t>%</t>
  </si>
  <si>
    <t>Subsidio Federal Ordinario</t>
  </si>
  <si>
    <t>1)</t>
  </si>
  <si>
    <t>2)</t>
  </si>
  <si>
    <t>Total Subsidios Federales</t>
  </si>
  <si>
    <t>Subsidio Estatal Ordinario</t>
  </si>
  <si>
    <t>3)</t>
  </si>
  <si>
    <t>Total Subsidios Estatales</t>
  </si>
  <si>
    <t>Notas:</t>
  </si>
  <si>
    <t>Anexo I-1</t>
  </si>
  <si>
    <t xml:space="preserve">Fecha </t>
  </si>
  <si>
    <t xml:space="preserve">Subsidio </t>
  </si>
  <si>
    <t>Subsidio</t>
  </si>
  <si>
    <t>de</t>
  </si>
  <si>
    <t>Inscripciones</t>
  </si>
  <si>
    <t>Pre-inscripciones</t>
  </si>
  <si>
    <t>Cuotas colegiaturas</t>
  </si>
  <si>
    <t xml:space="preserve">Cuotas laboratorio </t>
  </si>
  <si>
    <t>Cuotas deporte</t>
  </si>
  <si>
    <t xml:space="preserve">Varios </t>
  </si>
  <si>
    <t>Exámenes</t>
  </si>
  <si>
    <t xml:space="preserve">Constancias </t>
  </si>
  <si>
    <t>Certificados</t>
  </si>
  <si>
    <t>Validación</t>
  </si>
  <si>
    <t>Registro en libro de egresados</t>
  </si>
  <si>
    <t>Ingresos por clasificar</t>
  </si>
  <si>
    <t>Fideicomiso PROMEP 2001</t>
  </si>
  <si>
    <t>Intereses normales</t>
  </si>
  <si>
    <t>Total Ingresos Propios</t>
  </si>
  <si>
    <t>Cuotas varias</t>
  </si>
  <si>
    <t>Cambios y bajas de escuela</t>
  </si>
  <si>
    <r>
      <t xml:space="preserve">Notas: </t>
    </r>
    <r>
      <rPr>
        <sz val="10"/>
        <rFont val="Arial"/>
        <family val="2"/>
      </rPr>
      <t xml:space="preserve">  </t>
    </r>
  </si>
  <si>
    <t>Donativos en custodia</t>
  </si>
  <si>
    <t>Proyectos especiales</t>
  </si>
  <si>
    <t>Diversos</t>
  </si>
  <si>
    <t>Nota:</t>
  </si>
  <si>
    <t>Sueldos</t>
  </si>
  <si>
    <t>Ayuda transporte preescolar</t>
  </si>
  <si>
    <t>Ayuda para gastos de defunción</t>
  </si>
  <si>
    <t>Ayuda para gastos médicos</t>
  </si>
  <si>
    <t>Ayuda para gastos dentales</t>
  </si>
  <si>
    <t>Ayuda para gastos ortopédicos</t>
  </si>
  <si>
    <t>Ayuda para anteojos</t>
  </si>
  <si>
    <t>Apoyo cartera deporte sindical</t>
  </si>
  <si>
    <t>Formación de personal</t>
  </si>
  <si>
    <t>FONACOT</t>
  </si>
  <si>
    <t>Combustibles, lubricantes y aditivos</t>
  </si>
  <si>
    <t>Energía eléctrica</t>
  </si>
  <si>
    <t>Agua potable</t>
  </si>
  <si>
    <t>Teléfono</t>
  </si>
  <si>
    <t>Arrendamiento de inmuebles</t>
  </si>
  <si>
    <t>Mant. de equipo de transporte</t>
  </si>
  <si>
    <t>Impresiones</t>
  </si>
  <si>
    <t>Viáticos operativo</t>
  </si>
  <si>
    <t>Honorarios profesionales</t>
  </si>
  <si>
    <t>Alimentación administración general</t>
  </si>
  <si>
    <t>Exoneraciones por prestaciones</t>
  </si>
  <si>
    <t>Apoyos económicos</t>
  </si>
  <si>
    <t>Partidas por comp. a cta. de ing. propios</t>
  </si>
  <si>
    <t>Rectoría</t>
  </si>
  <si>
    <t>Contraloría General</t>
  </si>
  <si>
    <t>Contraloría Académica</t>
  </si>
  <si>
    <t>Dirección General de Deportes</t>
  </si>
  <si>
    <t>Dirección General de Bibliotecas</t>
  </si>
  <si>
    <t>Dirección de Radio UAS</t>
  </si>
  <si>
    <t>Departamento de Sueldos y Salarios</t>
  </si>
  <si>
    <t>Departamento de Contabilidad General</t>
  </si>
  <si>
    <t>Fundación UAS</t>
  </si>
  <si>
    <t>Escuela de Biología Culiacán</t>
  </si>
  <si>
    <t>Facultad de Contaduría y Admón. Culiacán</t>
  </si>
  <si>
    <t>Facultad de Historia</t>
  </si>
  <si>
    <t>Torre Académica Culiacán</t>
  </si>
  <si>
    <t>Escuela de Ingeniería Mazatlán</t>
  </si>
  <si>
    <t>Coord. General de PROMEP</t>
  </si>
  <si>
    <t>Facultad de Agronomía</t>
  </si>
  <si>
    <t>Facultad de Ciencias del Mar</t>
  </si>
  <si>
    <t>Escuela Preparatoria Emiliano Zapata</t>
  </si>
  <si>
    <t>Escuela Preparatoria Navolato</t>
  </si>
  <si>
    <t>Coord. Universitaria del Hospital Civil</t>
  </si>
  <si>
    <t>Escuela de Turismo Mazatlán</t>
  </si>
  <si>
    <t>Escuela Preparatoria Carlos Marx</t>
  </si>
  <si>
    <t>Escuela Preparatoria Central Nocturna</t>
  </si>
  <si>
    <t>Escuela Preparatoria Sandino</t>
  </si>
  <si>
    <t>Escuela Preparatoria Vladimir I. Lennin</t>
  </si>
  <si>
    <t>Escuela Preparatoria Victoria del Pueblo</t>
  </si>
  <si>
    <t>Escuela Preparatoria El Fuerte</t>
  </si>
  <si>
    <t>Escuela Preparatoria Los Mochis</t>
  </si>
  <si>
    <t>Escuela Preparatoria Angostura</t>
  </si>
  <si>
    <t>Escuela Preparatoria Rubén Jaramillo</t>
  </si>
  <si>
    <t>Cuenta</t>
  </si>
  <si>
    <t>T o t a l</t>
  </si>
  <si>
    <t>Control</t>
  </si>
  <si>
    <t>205366-0</t>
  </si>
  <si>
    <t>8675074-4</t>
  </si>
  <si>
    <t>1018205-3</t>
  </si>
  <si>
    <t>5300-15064-1</t>
  </si>
  <si>
    <t>Fideicomiso PROMEP-2001</t>
  </si>
  <si>
    <t>100337-0</t>
  </si>
  <si>
    <t>PC-083/95</t>
  </si>
  <si>
    <t>Total General</t>
  </si>
  <si>
    <t xml:space="preserve">                        </t>
  </si>
  <si>
    <t>Escuela Preparatoria Antonio Rosales</t>
  </si>
  <si>
    <t>SALDO FINAL EN BANCOS</t>
  </si>
  <si>
    <t>SALDO INICIAL EN BANCOS</t>
  </si>
  <si>
    <t>Atención y servicios de oficina</t>
  </si>
  <si>
    <t>Banorte</t>
  </si>
  <si>
    <t>Departamento de Auditoría Interna</t>
  </si>
  <si>
    <t>Escuela Preparatoria La Cruz</t>
  </si>
  <si>
    <t>Telefonía celular</t>
  </si>
  <si>
    <t>Anexo IV-1</t>
  </si>
  <si>
    <t>Anexo VIII-1</t>
  </si>
  <si>
    <t>Anexo VIII-2</t>
  </si>
  <si>
    <t>Anexo VIII-3</t>
  </si>
  <si>
    <t>Anexo VIII-4</t>
  </si>
  <si>
    <t>Anexo VIII-5</t>
  </si>
  <si>
    <t>Banco</t>
  </si>
  <si>
    <t>Partidas por comprobar viáticos</t>
  </si>
  <si>
    <t>Partidas por comprobar donativos</t>
  </si>
  <si>
    <t>Proyectos Especiales</t>
  </si>
  <si>
    <t>Escuela Preparatoria Heraclio Bernal</t>
  </si>
  <si>
    <t>Escuela de Contabilidad y Admón.Mazatlán</t>
  </si>
  <si>
    <t>Escuela Preparatoria Hnos. Flores Magon</t>
  </si>
  <si>
    <t>Escuela Preparatoria Ruiz Cortinez</t>
  </si>
  <si>
    <t>Cuotas y suscripciones</t>
  </si>
  <si>
    <t>Departamento de Prestaciones Sociales</t>
  </si>
  <si>
    <t>Departamento Centro de Instrumentos</t>
  </si>
  <si>
    <t>Seguro de vida</t>
  </si>
  <si>
    <t>Coordinación General Zona Sur</t>
  </si>
  <si>
    <t>00154833093</t>
  </si>
  <si>
    <t>Total  Caja y Bancos</t>
  </si>
  <si>
    <t>Recepción</t>
  </si>
  <si>
    <t>Federal</t>
  </si>
  <si>
    <t>Ordinario</t>
  </si>
  <si>
    <t>Estatal</t>
  </si>
  <si>
    <t>Depositado</t>
  </si>
  <si>
    <t>Dirección General de Escuelas Preparatorias</t>
  </si>
  <si>
    <t>Dirección de Asuntos Jurídicos</t>
  </si>
  <si>
    <t>Dirección de Informática</t>
  </si>
  <si>
    <t>Dirección de Editorial</t>
  </si>
  <si>
    <t>Departamento de Personal</t>
  </si>
  <si>
    <t>Coordinación General Zona Norte</t>
  </si>
  <si>
    <t>Coordinación Operativa del SIIA</t>
  </si>
  <si>
    <t>Escuela Preparatoria Guasave Diurna</t>
  </si>
  <si>
    <t>Escuela Preparatoria Lázaro Cárdenas</t>
  </si>
  <si>
    <t>Escuela Preparatoria Mazatlán</t>
  </si>
  <si>
    <t>UAS Gasto Operativo</t>
  </si>
  <si>
    <t>Fondo de Garantía Para la Vivienda</t>
  </si>
  <si>
    <t>Coord. General de Investigación y Posgrado</t>
  </si>
  <si>
    <r>
      <t>1)</t>
    </r>
    <r>
      <rPr>
        <sz val="8"/>
        <rFont val="Arial"/>
        <family val="2"/>
      </rPr>
      <t xml:space="preserve"> Partidas pendientes de reclasificar a su  ingreso correspondiente. </t>
    </r>
  </si>
  <si>
    <t>Colegiaturas El Fuerte</t>
  </si>
  <si>
    <t>Inversión Creciente (Inversiones)</t>
  </si>
  <si>
    <t>U.A.S. Maestría E.U.A. y Canadá (Dlls.)</t>
  </si>
  <si>
    <t>Total de Inversiones Disponibles</t>
  </si>
  <si>
    <t>Recursos en Fideicomisos y Cuentas para Proyectos Específicos</t>
  </si>
  <si>
    <t>UAS Proyectos Diversos (Dlls.)</t>
  </si>
  <si>
    <t>Total de Recursos en Fideicomisos</t>
  </si>
  <si>
    <t xml:space="preserve">T o t a l </t>
  </si>
  <si>
    <t>Total Ingresos por Subsidios</t>
  </si>
  <si>
    <t xml:space="preserve">Título en cuero </t>
  </si>
  <si>
    <t>Trámite de cédula profesional</t>
  </si>
  <si>
    <t>Intereses Ganados</t>
  </si>
  <si>
    <t>Prima de antigüedad por jubilación</t>
  </si>
  <si>
    <t>Secretaría General</t>
  </si>
  <si>
    <t>Inversiones Disponibles</t>
  </si>
  <si>
    <t>Nombre  de  la  Cuenta</t>
  </si>
  <si>
    <t>Partidas por comprobar gasto operativo</t>
  </si>
  <si>
    <t>Partidas por comprobar gasto etiquetado</t>
  </si>
  <si>
    <t>Coord. General de Asesores de Rectoría</t>
  </si>
  <si>
    <t>Dirección General de Recursos Humanos</t>
  </si>
  <si>
    <t>Coord. General de Planeación y Desarrollo</t>
  </si>
  <si>
    <t>Dirección de Comunicación Social</t>
  </si>
  <si>
    <t>Dirección de Construcción y Mantenimiento</t>
  </si>
  <si>
    <t>Facultad de Ciencias Químico Biológicas</t>
  </si>
  <si>
    <t>Escuela Preparatoria Concordia</t>
  </si>
  <si>
    <t>Escuela de Ciencias Económicas y Admvas.</t>
  </si>
  <si>
    <t>Escuela de Derecho Mazatlán</t>
  </si>
  <si>
    <t>Coordinación Universitaria del Hospital Civil</t>
  </si>
  <si>
    <t>Santander Serfin</t>
  </si>
  <si>
    <t>BBVA Bancomer</t>
  </si>
  <si>
    <t>HSBC</t>
  </si>
  <si>
    <t>Banamex</t>
  </si>
  <si>
    <t>Scotiabank Inverlat</t>
  </si>
  <si>
    <t>UAS Control</t>
  </si>
  <si>
    <t>UAS Colegiatura Ingresos Propios</t>
  </si>
  <si>
    <t>Escuela de Ciencias Computacionales</t>
  </si>
  <si>
    <t>00176690748</t>
  </si>
  <si>
    <t>Departamento de Archivo General</t>
  </si>
  <si>
    <t>Escuela Preparatoria Genaro Vázquez Rojas</t>
  </si>
  <si>
    <t>Centro de Idiomas Culiacán</t>
  </si>
  <si>
    <t>Coordinación General Zona Centro Norte</t>
  </si>
  <si>
    <t>Coordinación Académica Zona Norte</t>
  </si>
  <si>
    <t>Escuela Preparatoria San Blas</t>
  </si>
  <si>
    <t>Coord. General de Acceso a la Información Pública</t>
  </si>
  <si>
    <t>Escuela Preparatoria La Reforma</t>
  </si>
  <si>
    <t>Escuela de Derecho Guasave</t>
  </si>
  <si>
    <t>Seguridad para resguardo de valores</t>
  </si>
  <si>
    <t>Retenciones por Pagar</t>
  </si>
  <si>
    <t>Reposición de cheques de caja cta. puente</t>
  </si>
  <si>
    <t>Fondo alternativo</t>
  </si>
  <si>
    <t>Fondo revolvente</t>
  </si>
  <si>
    <t>Reposición de Cheques de Caja cta. puente</t>
  </si>
  <si>
    <t>00188381414</t>
  </si>
  <si>
    <t>UAS Inversiones</t>
  </si>
  <si>
    <t>UAS Ingresos Caja General</t>
  </si>
  <si>
    <t>Subtotal Ingresos Propios</t>
  </si>
  <si>
    <t>Total Intereses Generados</t>
  </si>
  <si>
    <t>Subtotal Servicios Personales</t>
  </si>
  <si>
    <t>Total Servicios Personales</t>
  </si>
  <si>
    <t>Caja General</t>
  </si>
  <si>
    <t>Dirección de Servicio Social Universitario</t>
  </si>
  <si>
    <t>Coordinación General de PROMEP</t>
  </si>
  <si>
    <t>Facultad de Medicina de Culiacán</t>
  </si>
  <si>
    <t>Facultad de Medicina Veterinaria y Zootecnia</t>
  </si>
  <si>
    <t>Facultad de Ingeniería Culiacán</t>
  </si>
  <si>
    <t>Facultad de Ciencias Sociales Mazatlán</t>
  </si>
  <si>
    <t>Escuela Preparatoria Víctor Manuel Tirado L.</t>
  </si>
  <si>
    <t>Centro de Idiomas Los Mochis</t>
  </si>
  <si>
    <t>Centro de Idiomas Guasave</t>
  </si>
  <si>
    <t>Centro de Idiomas Mazatlán</t>
  </si>
  <si>
    <t>Fideicomiso PIFIEMS 2004</t>
  </si>
  <si>
    <t>Escuela de Música</t>
  </si>
  <si>
    <t>Comisiones bancarias</t>
  </si>
  <si>
    <t>Estacionamientos</t>
  </si>
  <si>
    <t>Anticipo a cuenta de aguinaldo</t>
  </si>
  <si>
    <t>Embargo judicial</t>
  </si>
  <si>
    <t>Descuentos bancos</t>
  </si>
  <si>
    <t>Bonos (Material didáctico por documentar)</t>
  </si>
  <si>
    <t>Acreedores diversos</t>
  </si>
  <si>
    <t>Impuestos por Pagar</t>
  </si>
  <si>
    <t>Proyectos Diversos</t>
  </si>
  <si>
    <t>2000677-001</t>
  </si>
  <si>
    <t>PIFIEMS 2004</t>
  </si>
  <si>
    <t>Entrega de donativos en custodia efectivo</t>
  </si>
  <si>
    <t>Antigüedad</t>
  </si>
  <si>
    <t>ISR</t>
  </si>
  <si>
    <t xml:space="preserve">Cuentas de Cheques     </t>
  </si>
  <si>
    <t>4)</t>
  </si>
  <si>
    <t>5)</t>
  </si>
  <si>
    <t>65501752447</t>
  </si>
  <si>
    <t>NUMERO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</si>
  <si>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</si>
  <si>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</si>
  <si>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</si>
  <si>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</si>
  <si>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</si>
  <si>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</si>
  <si>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</si>
  <si>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</si>
  <si>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</si>
  <si>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CUENTAS POR COBRAR</t>
  </si>
  <si>
    <t>CUENTAS POR PAGAR</t>
  </si>
  <si>
    <t>ADQUISICIONES Y OTROS</t>
  </si>
  <si>
    <t>Subtotal cuentas por pagar</t>
  </si>
  <si>
    <t>Subtotal por traspasos bancarios</t>
  </si>
  <si>
    <t>Subtotal cuentas por cobrar</t>
  </si>
  <si>
    <t>Terrenos</t>
  </si>
  <si>
    <t>Bienes Inmuebles</t>
  </si>
  <si>
    <t>Alimentación (casas asistenciales)</t>
  </si>
  <si>
    <t>Devolución de ingresos institucionales</t>
  </si>
  <si>
    <t>Dirección de Control de Bienes e Inventarios</t>
  </si>
  <si>
    <t>Escuela Preparatoria Central Diurna</t>
  </si>
  <si>
    <t>UAS Colegiaturas La Cruz</t>
  </si>
  <si>
    <t>Fideicomiso FAM 2005</t>
  </si>
  <si>
    <t>UAS-Control 2005</t>
  </si>
  <si>
    <t>2000789-001</t>
  </si>
  <si>
    <t>Exoneraciones por apoyos</t>
  </si>
  <si>
    <t>Coord. General Zona Centro B</t>
  </si>
  <si>
    <t>Fideicomiso Fondo de Equidad 2005</t>
  </si>
  <si>
    <t>Fideicomiso PIFI  3.2</t>
  </si>
  <si>
    <t>2000923-000</t>
  </si>
  <si>
    <t>2000924-000</t>
  </si>
  <si>
    <t>Publicaciones</t>
  </si>
  <si>
    <t>UAS-Fondo de Equidad 2005</t>
  </si>
  <si>
    <r>
      <t xml:space="preserve">2.- </t>
    </r>
    <r>
      <rPr>
        <sz val="8"/>
        <rFont val="Arial"/>
        <family val="2"/>
      </rPr>
      <t>Cuentas bancarias de la administración anterior bloqueadas por el INFONAVIT.</t>
    </r>
  </si>
  <si>
    <t>Escuela Preparatoria Guamúchil</t>
  </si>
  <si>
    <t>Escuela de Idiomas Guamúchil</t>
  </si>
  <si>
    <t>Jardín de Niños</t>
  </si>
  <si>
    <t>UAS-Ingresos Especiales</t>
  </si>
  <si>
    <t>Difusión</t>
  </si>
  <si>
    <t>Liquidación por renuncia voluntaria</t>
  </si>
  <si>
    <t>Cuota alberca olímpica</t>
  </si>
  <si>
    <t>MAS:</t>
  </si>
  <si>
    <t>INGRESOS DEL PERIODO:</t>
  </si>
  <si>
    <t>MENOS:</t>
  </si>
  <si>
    <t>EGRESOS DEL PERIODO:</t>
  </si>
  <si>
    <t>$</t>
  </si>
  <si>
    <r>
      <t>1)</t>
    </r>
    <r>
      <rPr>
        <sz val="10"/>
        <rFont val="Arial"/>
        <family val="0"/>
      </rPr>
      <t xml:space="preserve"> Este anexo se analiza detalladamente en los anexos </t>
    </r>
    <r>
      <rPr>
        <b/>
        <sz val="10"/>
        <rFont val="Arial"/>
        <family val="2"/>
      </rPr>
      <t>VIII-1</t>
    </r>
    <r>
      <rPr>
        <sz val="10"/>
        <rFont val="Arial"/>
        <family val="0"/>
      </rPr>
      <t xml:space="preserve"> al </t>
    </r>
    <r>
      <rPr>
        <b/>
        <sz val="10"/>
        <rFont val="Arial"/>
        <family val="2"/>
      </rPr>
      <t>VIII-5</t>
    </r>
  </si>
  <si>
    <t>Escuela de Estudios Intern.y Políticas Púb.</t>
  </si>
  <si>
    <t>UNIVERSIDAD AUTONOMA DE SINALOA</t>
  </si>
  <si>
    <t>RELACION DE INGRESOS POR SUBSIDIOS</t>
  </si>
  <si>
    <t>ANALISIS DE INGRESOS POR SUBSIDIOS</t>
  </si>
  <si>
    <t>RELACION DE INGRESOS PROPIOS</t>
  </si>
  <si>
    <t>RELACION DE OTROS TIPOS DE INGRESOS PROPIOS</t>
  </si>
  <si>
    <t>RELACION DE OTROS INGRESOS</t>
  </si>
  <si>
    <t>ANALISIS DE INGRESOS POR PROYECTOS ESPECIALES</t>
  </si>
  <si>
    <t>RELACION DE PAGOS POR SERVICIOS PERSONALES</t>
  </si>
  <si>
    <t>RELACION DE PAGOS POR MATERIALES DE CONSUMO</t>
  </si>
  <si>
    <t>RELACION DE PAGOS POR SERVICIOS GENERALES</t>
  </si>
  <si>
    <t>RELACION DE PARTIDAS POR COMPROBAR GASTO OPERATIVO</t>
  </si>
  <si>
    <t>RELACION DE PARTIDAS POR COMPROBAR VIATICOS</t>
  </si>
  <si>
    <t>RELACION DE PARTIDAS POR COMPROBAR A CUENTA DE INGRESOS PROPIOS</t>
  </si>
  <si>
    <t>RELACION DE PARTIDAS POR COMPROBAR DONATIVOS</t>
  </si>
  <si>
    <t>RELACION DE PARTIDAS POR COMPROBAR GASTO ETIQUETADO</t>
  </si>
  <si>
    <t>Escuela de Artes Plásticas</t>
  </si>
  <si>
    <t>Becas a estudiantes</t>
  </si>
  <si>
    <t>Secretaría Académica de Rectoría</t>
  </si>
  <si>
    <t>Servicios varios</t>
  </si>
  <si>
    <t>Específico</t>
  </si>
  <si>
    <t>Subsidio Federal Específico</t>
  </si>
  <si>
    <t>Fideicomiso PIFI 3.3</t>
  </si>
  <si>
    <t>Infonavit</t>
  </si>
  <si>
    <t>Retiro</t>
  </si>
  <si>
    <t>IMSS patronal</t>
  </si>
  <si>
    <t>Facultad de Informática Mazatlán</t>
  </si>
  <si>
    <r>
      <t>1)</t>
    </r>
    <r>
      <rPr>
        <sz val="8"/>
        <rFont val="Arial"/>
        <family val="2"/>
      </rPr>
      <t xml:space="preserve"> Se analiza detalladamente en el anexo </t>
    </r>
    <r>
      <rPr>
        <b/>
        <sz val="8"/>
        <rFont val="Arial"/>
        <family val="2"/>
      </rPr>
      <t>IV-1</t>
    </r>
  </si>
  <si>
    <t>Secretaría de Administración y Finanzas</t>
  </si>
  <si>
    <t>Escuela de Ciencias Fisico Matemáticas</t>
  </si>
  <si>
    <t>Evento académico</t>
  </si>
  <si>
    <t>100957-1</t>
  </si>
  <si>
    <t>Fideicomiso Reserva. P/Problemas Estructurales</t>
  </si>
  <si>
    <t>Escuela Preparatoria 02 de Octubre</t>
  </si>
  <si>
    <t>Fideicomiso Minera Cosala</t>
  </si>
  <si>
    <t>Banco del Bajio</t>
  </si>
  <si>
    <t>Inversiones UAS Minera de Cosala</t>
  </si>
  <si>
    <t>6150-01-85</t>
  </si>
  <si>
    <t>Incapacidades</t>
  </si>
  <si>
    <t>Fideicomiso PIFI 2007</t>
  </si>
  <si>
    <t>Unidad Académica de Negocios</t>
  </si>
  <si>
    <t>Inversión Creciente (Ingresos especiales)</t>
  </si>
  <si>
    <t>Igualas fideicomiso jubilación</t>
  </si>
  <si>
    <t>Aportación al fideicomiso para la jubilación dinámica</t>
  </si>
  <si>
    <t>Extraordinario</t>
  </si>
  <si>
    <t>Subsidio Federal Extraordinario</t>
  </si>
  <si>
    <t>Escuela Superior de Enfermería Mazatlán</t>
  </si>
  <si>
    <t>Escuela Preparatoria Guasave Nocturna</t>
  </si>
  <si>
    <t>Fideicomiso Prima de Antig.x Jubilación</t>
  </si>
  <si>
    <t>Fideicomiso Primas de Antigüedad por Jubilación</t>
  </si>
  <si>
    <t>2001429-000</t>
  </si>
  <si>
    <t>Análisis y diagnóstico de laboratorio</t>
  </si>
  <si>
    <t>Dirección del Sistema de Gestión de la Calidad</t>
  </si>
  <si>
    <t>Esc.Superior de Agricultura del Valle del Fte.</t>
  </si>
  <si>
    <t>Seguro de vida colectivo administrativos</t>
  </si>
  <si>
    <t>2001449-001</t>
  </si>
  <si>
    <t>Fideicomiso Gasto de Operación</t>
  </si>
  <si>
    <r>
      <t>1)</t>
    </r>
    <r>
      <rPr>
        <sz val="8"/>
        <rFont val="Arial"/>
        <family val="2"/>
      </rPr>
      <t xml:space="preserve"> Cuentas de pasivo incluidas en la Relación de Pagos por Servicios Personales, por representar salidas de efectivo.</t>
    </r>
  </si>
  <si>
    <t>Dirección de Imprenta Universitaria</t>
  </si>
  <si>
    <t>Indemnizaciones</t>
  </si>
  <si>
    <t>Fideicomiso FAM 2008</t>
  </si>
  <si>
    <t>Fideicomiso Gastos de Administración</t>
  </si>
  <si>
    <t>2001517-001</t>
  </si>
  <si>
    <t>6)</t>
  </si>
  <si>
    <t>Anticipo de jubilación</t>
  </si>
  <si>
    <t>UAS-Prima de Antigüedad por Jubilación</t>
  </si>
  <si>
    <t>Cambios bancarios</t>
  </si>
  <si>
    <t>F-403337-9</t>
  </si>
  <si>
    <t>Fideicomiso p/la Jubilación de Trab.Acad.y Admvos.</t>
  </si>
  <si>
    <t>Facultad de Ciencias de la Educación</t>
  </si>
  <si>
    <t>Escuela Preparatoria Semiescolarizada</t>
  </si>
  <si>
    <t>***Apertura de Cuenta y Fideicomiso para la Jubilación de Trabs. Acads. y Admvos.(23 Abil de 2008)</t>
  </si>
  <si>
    <t xml:space="preserve">Provisiones Fideicomiso para la Jubilación </t>
  </si>
  <si>
    <t xml:space="preserve">Rendimientos Fideicomiso para la Jubilación </t>
  </si>
  <si>
    <t xml:space="preserve">Comisiones Fideicomiso para la Jubilación </t>
  </si>
  <si>
    <t>Recargos y multas</t>
  </si>
  <si>
    <t>Facultad de Ciencias Económicas y Sociales</t>
  </si>
  <si>
    <t>Escuela Superior de Enfermería Culiacán</t>
  </si>
  <si>
    <t xml:space="preserve">      entregan en fechas posteriores para su cobro o se procederá a su cancelación.</t>
  </si>
  <si>
    <t>Cuenta Puente Fideicomiso F-403337-9</t>
  </si>
  <si>
    <t>Equipo de transporte</t>
  </si>
  <si>
    <t>Mobiliario y equipo</t>
  </si>
  <si>
    <t>Seguro de vida académicos</t>
  </si>
  <si>
    <t>Apoyo cartera educación sindical</t>
  </si>
  <si>
    <t>Facultad de Ingeniería Los Mochis</t>
  </si>
  <si>
    <t>Facultad de Medicina</t>
  </si>
  <si>
    <t>Secretaría Administrativa</t>
  </si>
  <si>
    <t>Dirección Académico Legal</t>
  </si>
  <si>
    <t>Dirección General de Servicios Escolares</t>
  </si>
  <si>
    <t>Coord. General de Extensión Cultural y los Servicios</t>
  </si>
  <si>
    <t>Dir.de Servicios Asistenciales Estudiantiles Zona Centro</t>
  </si>
  <si>
    <t>Facultad de Odontología</t>
  </si>
  <si>
    <t>Facultad de Trabajo Social</t>
  </si>
  <si>
    <t>Unidad Académica de Nutrición</t>
  </si>
  <si>
    <t>Escuela Superior de Enfermería Mochis</t>
  </si>
  <si>
    <t>Facultad de Trabajo Social Los Mochis</t>
  </si>
  <si>
    <t>Facultad de Trabajo Social Mazatlán</t>
  </si>
  <si>
    <t>Facultad de Psicología</t>
  </si>
  <si>
    <t>Facultad de Derecho Culiacán</t>
  </si>
  <si>
    <t>Escuela Superior de Educación Física</t>
  </si>
  <si>
    <t>Facultad de Informática Culiacán</t>
  </si>
  <si>
    <t>Facultad de Derecho y Ciencia Política</t>
  </si>
  <si>
    <t>Escuela de Ingeniería Mochis</t>
  </si>
  <si>
    <t>Escuela Preparatoria Valle del Carrizo</t>
  </si>
  <si>
    <t>Escuela Preparatoria Casa Blanca</t>
  </si>
  <si>
    <t>00613852041</t>
  </si>
  <si>
    <t>00613852023</t>
  </si>
  <si>
    <r>
      <t xml:space="preserve">1.- </t>
    </r>
    <r>
      <rPr>
        <sz val="8"/>
        <rFont val="Arial"/>
        <family val="2"/>
      </rPr>
      <t>Cuentas bancarias de la administración 2001-2005 canceladas, que siguen apareciendo con saldo  en libros.</t>
    </r>
  </si>
  <si>
    <t>Departamento de Servicios Escolares Zona Norte</t>
  </si>
  <si>
    <t>Centro de Estudios Superiores del Valle del Carrizo</t>
  </si>
  <si>
    <t>Escuela Preparatoria Choix</t>
  </si>
  <si>
    <t>Centro de Idiomas Navolato</t>
  </si>
  <si>
    <t>Facultad de Arquitectura Culiacán</t>
  </si>
  <si>
    <t>Mant. de edificio, jardinerías y u. deportivas</t>
  </si>
  <si>
    <t>Actualizaciones</t>
  </si>
  <si>
    <t>Estímulo al desempeño académico</t>
  </si>
  <si>
    <t>Artículos de promociones universitarias</t>
  </si>
  <si>
    <t>Departamento de Deportes Zona Sur</t>
  </si>
  <si>
    <t>Escuela de Ciencias de la Tierra</t>
  </si>
  <si>
    <t>RELACION DE PARTIDAS POR COMPROBAR</t>
  </si>
  <si>
    <t>Depto.de Control de Becas al Desempeño Académico</t>
  </si>
  <si>
    <t>SUNTUAS Administrativo</t>
  </si>
  <si>
    <t>Escuela Preparatoria Vladimir I. Lenin</t>
  </si>
  <si>
    <t>Aguinaldo</t>
  </si>
  <si>
    <t>Apoyo cartera asuntos académicos sindical</t>
  </si>
  <si>
    <t>Desistimiento de embargo</t>
  </si>
  <si>
    <t>Donativos</t>
  </si>
  <si>
    <t>Cooperaciones varias</t>
  </si>
  <si>
    <t>Fideicomiso FAM 2009</t>
  </si>
  <si>
    <t>2001700-001</t>
  </si>
  <si>
    <t xml:space="preserve">       en el deporte en Sinaloa". </t>
  </si>
  <si>
    <t>Escuela Preparatoria Escuinapa</t>
  </si>
  <si>
    <t>Asociación de Usuarios y Productores Agrícolas</t>
  </si>
  <si>
    <t>7)</t>
  </si>
  <si>
    <t>Instituto Sinaloense de las Mujeres</t>
  </si>
  <si>
    <t>Iguala por cuotas sindicales</t>
  </si>
  <si>
    <t>Anticipo de descuentos retenidos</t>
  </si>
  <si>
    <t>Propaganda</t>
  </si>
  <si>
    <t>Evento social</t>
  </si>
  <si>
    <r>
      <t xml:space="preserve">3.- </t>
    </r>
    <r>
      <rPr>
        <sz val="8"/>
        <rFont val="Arial"/>
        <family val="2"/>
      </rPr>
      <t xml:space="preserve">Se refleja saldo negativo por elaboración de cheques al día 31 de Octubre, se encuentran en transito  y se </t>
    </r>
  </si>
  <si>
    <r>
      <t>4.-</t>
    </r>
    <r>
      <rPr>
        <sz val="8"/>
        <rFont val="Arial"/>
        <family val="2"/>
      </rPr>
      <t xml:space="preserve"> Equivale a $ 1,385.15 dlls. al tipo de cambio de $ 13.22 pesos.</t>
    </r>
  </si>
  <si>
    <r>
      <t>5.</t>
    </r>
    <r>
      <rPr>
        <sz val="8"/>
        <rFont val="Arial"/>
        <family val="2"/>
      </rPr>
      <t xml:space="preserve">- Equivale a $ 68,461.54 dlls. al tipo de cambio de $ 13.22 pesos.  </t>
    </r>
  </si>
  <si>
    <r>
      <t>6.</t>
    </r>
    <r>
      <rPr>
        <sz val="8"/>
        <rFont val="Arial"/>
        <family val="2"/>
      </rPr>
      <t xml:space="preserve">- Equivale a $ 92,998.23 dlls. al tipo de cambio de $ 13.22 pesos.  </t>
    </r>
  </si>
  <si>
    <t>SALDO EN BANCOS E INVERSIONES AL 31 DE OCTUBRE DE 2009</t>
  </si>
  <si>
    <t>DEL 01 DE NOVIEMBRE DE 2009 AL 31 DE ENERO DE 2010</t>
  </si>
  <si>
    <t>Noviembre</t>
  </si>
  <si>
    <t>Diciembre</t>
  </si>
  <si>
    <t>Enero</t>
  </si>
  <si>
    <t>20 de Noviembre</t>
  </si>
  <si>
    <t>26 de Noviembre</t>
  </si>
  <si>
    <t>Noviembre 2009</t>
  </si>
  <si>
    <t>10 de Diciembre</t>
  </si>
  <si>
    <t>Diciembre 2009</t>
  </si>
  <si>
    <t>12 de Enero</t>
  </si>
  <si>
    <t>13 de Enero</t>
  </si>
  <si>
    <t>14 de Enero</t>
  </si>
  <si>
    <t>Enero 2010</t>
  </si>
  <si>
    <r>
      <t xml:space="preserve">3.- </t>
    </r>
    <r>
      <rPr>
        <sz val="8"/>
        <rFont val="Arial"/>
        <family val="2"/>
      </rPr>
      <t xml:space="preserve">Se refleja saldo negativo por elaboración de cheques al día 30 de Noviembre, se encuentran en transito  y se </t>
    </r>
  </si>
  <si>
    <t>SALDO EN BANCOS E INVERSIONES AL 30 DE NOVIEMBRE DE 2009</t>
  </si>
  <si>
    <t>Coordinación General de Centros de Idiomas</t>
  </si>
  <si>
    <t>Departamento de Servicio Social Mazatlán</t>
  </si>
  <si>
    <t>Facultad de Admón. Agrop.y Desarrollo rural</t>
  </si>
  <si>
    <t>Ejercicio 2003</t>
  </si>
  <si>
    <t>Ejercicio 2004</t>
  </si>
  <si>
    <t>Excedente de ingresos y/ o egresos de ejercicios anteriores</t>
  </si>
  <si>
    <t>Ayuda para impresión de tésis</t>
  </si>
  <si>
    <t>03 de Noviembre</t>
  </si>
  <si>
    <t>11 de Noviembre</t>
  </si>
  <si>
    <t>05 de Noviembre</t>
  </si>
  <si>
    <t>UAS-Control 2009</t>
  </si>
  <si>
    <r>
      <t>4.-</t>
    </r>
    <r>
      <rPr>
        <sz val="8"/>
        <rFont val="Arial"/>
        <family val="2"/>
      </rPr>
      <t xml:space="preserve"> Equivale a $ 1,371.35 dlls. al tipo de cambio de $ 12.96 pesos.</t>
    </r>
  </si>
  <si>
    <r>
      <t>5.</t>
    </r>
    <r>
      <rPr>
        <sz val="8"/>
        <rFont val="Arial"/>
        <family val="2"/>
      </rPr>
      <t xml:space="preserve">- Equivale a $ 68,459.24 dlls. al tipo de cambio de $ 12.96 pesos.  </t>
    </r>
  </si>
  <si>
    <r>
      <t>6.</t>
    </r>
    <r>
      <rPr>
        <sz val="8"/>
        <rFont val="Arial"/>
        <family val="2"/>
      </rPr>
      <t xml:space="preserve">- Equivale a $ 92,984.43 dlls. al tipo de cambio de $ 12.96 pesos.  </t>
    </r>
  </si>
  <si>
    <t xml:space="preserve">Rendimientos pendientes de registrar </t>
  </si>
  <si>
    <t xml:space="preserve">Comisiones pendientes de registrar </t>
  </si>
  <si>
    <t>Instituto Mexicano de Tecnología del Agua</t>
  </si>
  <si>
    <t>Contraloría Estudiantil</t>
  </si>
  <si>
    <t>Dirección de Actividades Artísticas</t>
  </si>
  <si>
    <t>Instituto de Investigaciones Económico y Sociales</t>
  </si>
  <si>
    <t>Facultad de Derecho Culiacán Ext.Navolato</t>
  </si>
  <si>
    <t>Fideicomiso PIFI FOMES 2008</t>
  </si>
  <si>
    <t>Fideicomiso PIFI FIUPEA 2009</t>
  </si>
  <si>
    <t>Fideicomiso PIFI FOMES 2009</t>
  </si>
  <si>
    <t>Subsidio Estatal Extraordinario</t>
  </si>
  <si>
    <t>SALDO EN BANCOS E INVERSIONES AL 31 DE DICIEMBRE DE 2009</t>
  </si>
  <si>
    <t>UAS FAFEF 2008</t>
  </si>
  <si>
    <t>Banco del Bajío</t>
  </si>
  <si>
    <t>Fideicomiso UAS Minera Cosalá</t>
  </si>
  <si>
    <r>
      <t xml:space="preserve">3.- </t>
    </r>
    <r>
      <rPr>
        <sz val="8"/>
        <rFont val="Arial"/>
        <family val="2"/>
      </rPr>
      <t xml:space="preserve">Se refleja saldo negativo por elaboración de cheques al día 31 de Diciembre, se encuentran en transito  y se </t>
    </r>
  </si>
  <si>
    <r>
      <t>4.-</t>
    </r>
    <r>
      <rPr>
        <sz val="8"/>
        <rFont val="Arial"/>
        <family val="2"/>
      </rPr>
      <t xml:space="preserve"> Equivale a $ 1,369.05 dlls. al tipo de cambio de $ 13.07 pesos.</t>
    </r>
  </si>
  <si>
    <r>
      <t>5.</t>
    </r>
    <r>
      <rPr>
        <sz val="8"/>
        <rFont val="Arial"/>
        <family val="2"/>
      </rPr>
      <t xml:space="preserve">- Equivale a $ 68,456.94 dlls. al tipo de cambio de $ 13.07 pesos.  </t>
    </r>
  </si>
  <si>
    <r>
      <t>6.</t>
    </r>
    <r>
      <rPr>
        <sz val="8"/>
        <rFont val="Arial"/>
        <family val="2"/>
      </rPr>
      <t xml:space="preserve">- Equivale a $ 92,982.13 dlls. al tipo de cambio de $ 13.07 pesos.  </t>
    </r>
  </si>
  <si>
    <t>08 de Diciembre</t>
  </si>
  <si>
    <t>11 de Diciembre</t>
  </si>
  <si>
    <t>15 de Diciembre</t>
  </si>
  <si>
    <t>16 de Diciembre</t>
  </si>
  <si>
    <t>22 de Diciembre</t>
  </si>
  <si>
    <t>23 de Diciembre</t>
  </si>
  <si>
    <t>06 de Enero</t>
  </si>
  <si>
    <t>27 de Enero</t>
  </si>
  <si>
    <t>22 de Enero</t>
  </si>
  <si>
    <t xml:space="preserve">Gobierno del Estado de Sinaloa </t>
  </si>
  <si>
    <t>Gobierno del Estado de México</t>
  </si>
  <si>
    <t>8)</t>
  </si>
  <si>
    <r>
      <t xml:space="preserve">8).- </t>
    </r>
    <r>
      <rPr>
        <sz val="8"/>
        <rFont val="Arial"/>
        <family val="2"/>
      </rPr>
      <t xml:space="preserve">Pago de indemnización por afectación minera de 144-71-82 has. Terreno propiedad de la UAS para ocupación temporal y </t>
    </r>
  </si>
  <si>
    <t>SALDO EN BANCOS E INVERSIONES AL 31 DE ENERO DE 2010</t>
  </si>
  <si>
    <r>
      <t xml:space="preserve">4).- </t>
    </r>
    <r>
      <rPr>
        <sz val="8"/>
        <rFont val="Arial"/>
        <family val="2"/>
      </rPr>
      <t xml:space="preserve">Ministraciones para proyecto "Elementos para la conceptualización del programa promoción de convenios en materia de justicia". </t>
    </r>
  </si>
  <si>
    <t>Subtotal adquisiciones y otros</t>
  </si>
  <si>
    <t>TRASPASOS BANCARIOS</t>
  </si>
  <si>
    <t>Comisiones Mixtas</t>
  </si>
  <si>
    <t>Departamento de Difusión Cultural y Extensión Zona Sur</t>
  </si>
  <si>
    <t>Escuela Preparatoria 8 de Julio</t>
  </si>
  <si>
    <r>
      <t>4.-</t>
    </r>
    <r>
      <rPr>
        <sz val="8"/>
        <rFont val="Arial"/>
        <family val="2"/>
      </rPr>
      <t xml:space="preserve"> Equivale a $ 1,366.73 dlls. al tipo de cambio de $ 13.02 pesos.</t>
    </r>
  </si>
  <si>
    <r>
      <t>6.</t>
    </r>
    <r>
      <rPr>
        <sz val="8"/>
        <rFont val="Arial"/>
        <family val="2"/>
      </rPr>
      <t xml:space="preserve">- Equivale a $ 92,979.81 dlls. al tipo de cambio de $ 13.02 pesos.  </t>
    </r>
  </si>
  <si>
    <r>
      <t>5.</t>
    </r>
    <r>
      <rPr>
        <sz val="8"/>
        <rFont val="Arial"/>
        <family val="2"/>
      </rPr>
      <t xml:space="preserve">- Equivale a $ 68,454.62 dlls. al tipo de cambio de $ 13.02 pesos.  </t>
    </r>
  </si>
  <si>
    <t>NOTA:</t>
  </si>
  <si>
    <t>SECRETARIA DE ADMINISTRACION Y FINANZAS</t>
  </si>
  <si>
    <t>DE ANEXO</t>
  </si>
  <si>
    <t>1)  Noviembre:</t>
  </si>
  <si>
    <t xml:space="preserve">      - Subsidio Federal correspondiente al mes de Noviembre de 2009. </t>
  </si>
  <si>
    <t xml:space="preserve">      - Complemento de Subsidio Federal correspondiente al mes de Noviembre de 2009.</t>
  </si>
  <si>
    <t xml:space="preserve">      - Subsidio Federal correspondiente a incremento salarial del año 2009.  </t>
  </si>
  <si>
    <t xml:space="preserve">      - Subsidio Federal correspondiente al mes de Enero de 2010.</t>
  </si>
  <si>
    <t xml:space="preserve">      - Complemento de Subsidio Federal correspondiente al mes de Enero de 2010.</t>
  </si>
  <si>
    <t xml:space="preserve">      - Subsidio Estatal adicional correspondiente al mes de Noviembre de 2009.  </t>
  </si>
  <si>
    <t xml:space="preserve">      - Subsidio Estatal adicional correspondiente al mes de Diciembre de 2009.  </t>
  </si>
  <si>
    <t xml:space="preserve">      - Complemento de Subsidio Estatal  correspondiente al mes de Diciembre de 2009.  </t>
  </si>
  <si>
    <t xml:space="preserve">      - Complemento de Subsidio Estatal adicional correspondiente al mes de Diciembre de 2009.  </t>
  </si>
  <si>
    <t xml:space="preserve">      - Subsidio Estatal adicional correspondiente a reconocimiento de plantilla del año 2009.  </t>
  </si>
  <si>
    <t xml:space="preserve">      - Subsidio Estatal adicional correspondiente a incremento en matrícula del año 2009.  </t>
  </si>
  <si>
    <t xml:space="preserve">      Diciembre:</t>
  </si>
  <si>
    <t xml:space="preserve">      Enero:</t>
  </si>
  <si>
    <t xml:space="preserve">      - Anticipo de Subsidio Federal correspondiente al año de 2010.</t>
  </si>
  <si>
    <t xml:space="preserve">      - Subsidio Federal correspondiente al mes de Diciembre de 2009.</t>
  </si>
  <si>
    <r>
      <t xml:space="preserve">      - </t>
    </r>
    <r>
      <rPr>
        <sz val="8"/>
        <rFont val="Arial"/>
        <family val="2"/>
      </rPr>
      <t xml:space="preserve">Subsidio Federal correspondiente a apoyo extraordinario del fondo de inversión de universidades públicas </t>
    </r>
  </si>
  <si>
    <t xml:space="preserve">      - Pago finiquito de estimaciones varias de recursos FAM 2008.</t>
  </si>
  <si>
    <t xml:space="preserve">2)  Noviembre:     </t>
  </si>
  <si>
    <r>
      <t xml:space="preserve">        </t>
    </r>
    <r>
      <rPr>
        <sz val="8"/>
        <rFont val="Arial"/>
        <family val="2"/>
      </rPr>
      <t>estatales con valuación de la ANUIES (FIUPEA 2009).</t>
    </r>
  </si>
  <si>
    <t xml:space="preserve">3)  Noviembre:     </t>
  </si>
  <si>
    <t xml:space="preserve">      Enero:              </t>
  </si>
  <si>
    <t xml:space="preserve">      - Subsidio Federal para el programa adopta un amigo correspondiente al año 2009.</t>
  </si>
  <si>
    <t xml:space="preserve">4)  Noviembre:     </t>
  </si>
  <si>
    <t xml:space="preserve">      Enero: </t>
  </si>
  <si>
    <t xml:space="preserve">5)  Diciembre: </t>
  </si>
  <si>
    <t xml:space="preserve">S   u   b   c   u   e   n   t   a </t>
  </si>
  <si>
    <t>Fondo de recuperación de becas PROMEP</t>
  </si>
  <si>
    <t xml:space="preserve"> Indígenas</t>
  </si>
  <si>
    <t xml:space="preserve">       Sinaloa", de la Facultad de Ciencias Quimico Biológicas.</t>
  </si>
  <si>
    <t>Expedición y reposición de credencial</t>
  </si>
  <si>
    <t>Cesantía y vejez</t>
  </si>
  <si>
    <t>Dirección de Intercambio y Vinculación Académica</t>
  </si>
  <si>
    <t>Coordinación Gral. de Inv. y Posgrado Zona Norte</t>
  </si>
  <si>
    <t>ESTADO DE FLUJO DE EFECTIVO POR EL PERIODO COMPRENDIDO</t>
  </si>
  <si>
    <t xml:space="preserve"> DEL 01 DE NOVIEMBRE DE 2009 AL 31 DE ENERO DE 2010</t>
  </si>
  <si>
    <r>
      <t xml:space="preserve">      - </t>
    </r>
    <r>
      <rPr>
        <sz val="8"/>
        <rFont val="Arial"/>
        <family val="2"/>
      </rPr>
      <t>Subsidio Federal correspondiente a ampliación de carrera docente 2009.</t>
    </r>
  </si>
  <si>
    <t xml:space="preserve">      - Subsidio Federal correspondiente al Programa de Mejoramiento del Profesorado (PROMEP 2009).</t>
  </si>
  <si>
    <r>
      <t xml:space="preserve">      - </t>
    </r>
    <r>
      <rPr>
        <sz val="8"/>
        <rFont val="Arial"/>
        <family val="2"/>
      </rPr>
      <t>Pago de estimaciones varias de recursos FAM 2009.</t>
    </r>
  </si>
  <si>
    <t xml:space="preserve">      - Pago de estimaciones varias de recursos correspondiente al 2% de supervisión del FAM 2009.</t>
  </si>
  <si>
    <t xml:space="preserve">      - Pago de estimaciones varias de recursos FAM 2009.</t>
  </si>
  <si>
    <t xml:space="preserve">      - Subsidio Federal Extraordinario correspondiente al año 2009.</t>
  </si>
  <si>
    <r>
      <t xml:space="preserve">      - Subsidio Federal correspondiente a apoyo extraordinario de ejercicio 2009. </t>
    </r>
  </si>
  <si>
    <r>
      <t xml:space="preserve">      - </t>
    </r>
    <r>
      <rPr>
        <sz val="8"/>
        <rFont val="Arial"/>
        <family val="2"/>
      </rPr>
      <t xml:space="preserve">Subsidio Estatal correspondiente al mes de Noviembre de 2009. </t>
    </r>
  </si>
  <si>
    <r>
      <t xml:space="preserve">      - Subsidio Estatal correspondiente al mes de Diciembre de 2009. </t>
    </r>
  </si>
  <si>
    <r>
      <t xml:space="preserve">      - Subsidio Estatal correspondiente al mes de Enero de 2010. </t>
    </r>
  </si>
  <si>
    <r>
      <t xml:space="preserve">      - Apoyo Subsidio Estatal Extraordinario del año 2009. </t>
    </r>
  </si>
  <si>
    <t>Asesorías</t>
  </si>
  <si>
    <t>Comisión Nacional para el Desarrollo de los Pueblos</t>
  </si>
  <si>
    <t>Semillas y Agroproductos Monsanto, S.A. de C.V.</t>
  </si>
  <si>
    <t>Minera Cosalá, S. A. de C. V.</t>
  </si>
  <si>
    <r>
      <t xml:space="preserve">1).- </t>
    </r>
    <r>
      <rPr>
        <sz val="8"/>
        <rFont val="Arial"/>
        <family val="2"/>
      </rPr>
      <t>Proyecto "Evaluación de la aplicación del financiamiento conjunto de programas de seguridad pública del Estado de México en el</t>
    </r>
  </si>
  <si>
    <t xml:space="preserve">       marco del sistema nacional de seguridad".</t>
  </si>
  <si>
    <r>
      <t xml:space="preserve">2).- </t>
    </r>
    <r>
      <rPr>
        <sz val="8"/>
        <rFont val="Arial"/>
        <family val="2"/>
      </rPr>
      <t xml:space="preserve">1ra. Ministración correspondiente al 40% del monto total por la prestación de servicios universitarios del proyecto "Estudio de la </t>
    </r>
  </si>
  <si>
    <t xml:space="preserve">       calidad del agua y productividad primaria del embalse de la Presa Picachos en el Estado de Sinaloa".</t>
  </si>
  <si>
    <r>
      <t xml:space="preserve">3).- </t>
    </r>
    <r>
      <rPr>
        <sz val="8"/>
        <rFont val="Arial"/>
        <family val="2"/>
      </rPr>
      <t xml:space="preserve">Apoyo según convenio de colaboración académica y científica para realización de la línea de investigación "Las mujeres </t>
    </r>
  </si>
  <si>
    <r>
      <t xml:space="preserve">5).- </t>
    </r>
    <r>
      <rPr>
        <sz val="8"/>
        <rFont val="Arial"/>
        <family val="2"/>
      </rPr>
      <t>Pago total para el desarrollo del proyecto de investigación "Instalación, seguimiento y monitoreo de un sistema de tratamiento de</t>
    </r>
  </si>
  <si>
    <t xml:space="preserve">       aguas residuales a traves de biofiltros de rastrojos incorporados", en la Escuela Superior de Agricultura del Valle del Fuerte.</t>
  </si>
  <si>
    <r>
      <t xml:space="preserve">6).- </t>
    </r>
    <r>
      <rPr>
        <sz val="8"/>
        <rFont val="Arial"/>
        <family val="2"/>
      </rPr>
      <t xml:space="preserve">Apoyo al proyecto "Seguimiento del control biológico del Lirio Acuático e investigación sobre control biológico de la Lechugilla de </t>
    </r>
  </si>
  <si>
    <t xml:space="preserve">       agua en la red de distribución de los Distritos de Riego 010 y 074".</t>
  </si>
  <si>
    <r>
      <t xml:space="preserve">7).- </t>
    </r>
    <r>
      <rPr>
        <sz val="8"/>
        <rFont val="Arial"/>
        <family val="2"/>
      </rPr>
      <t>Prestación de servicio para proyecto "Evaluación de la eficacia de maíces transgénicos resistentes a lepidópteros y gilfosato en</t>
    </r>
  </si>
  <si>
    <t xml:space="preserve">       derecho de servidumbre de paso, de la Minera Cosalá, correspondiente a los meses de Noviembre de 2009 a Enero de 2010.</t>
  </si>
  <si>
    <t>Anticipo a estímulo a la carrera docente</t>
  </si>
  <si>
    <t>Reposición de cheques de caja por canc. cta. ant.</t>
  </si>
  <si>
    <t>Trasp. bancarios por liquidez (Sueldos)</t>
  </si>
  <si>
    <t>Trasp. bancarios por liquidez (Aguinaldos)</t>
  </si>
  <si>
    <t>Trasp. bancarios por liquidez (Prog.de ret.)</t>
  </si>
  <si>
    <t>Trasp. bancarios por liquidez (Carrera docente)</t>
  </si>
  <si>
    <t>ISR retenido 10%</t>
  </si>
  <si>
    <t>IVA retenido 10%</t>
  </si>
  <si>
    <t>Cuotas sindicato</t>
  </si>
  <si>
    <t>Cuotas generales</t>
  </si>
  <si>
    <t>Subtotal cuentas por cobrar, adquisiciones y otros</t>
  </si>
  <si>
    <t>Pérdidas por sustracción de bienes</t>
  </si>
  <si>
    <t>Escuela de Admón. Agropecuaria y Desarrollo Rural</t>
  </si>
  <si>
    <t>Facultad de Contaduría y Administración Culiacán</t>
  </si>
  <si>
    <t>Facultad de Ciencias Económicas y Administrativas</t>
  </si>
  <si>
    <t xml:space="preserve">Escuela Preparatoria 8 de Julio </t>
  </si>
  <si>
    <t>Escuela Preparatoria Dr. Salvador Allende</t>
  </si>
  <si>
    <t>Escuela Preparatoria C.U. Los Mochis</t>
  </si>
  <si>
    <t>Escuela Preparatoria Juan José Ríos</t>
  </si>
  <si>
    <t>Inversiones UAS Minera de Cosalá</t>
  </si>
  <si>
    <t>Fondo de Garantía para la Vivienda</t>
  </si>
  <si>
    <r>
      <t xml:space="preserve">1.- </t>
    </r>
    <r>
      <rPr>
        <sz val="8"/>
        <rFont val="Arial"/>
        <family val="2"/>
      </rPr>
      <t>Cuentas bancarias de la administración 2001-2005 canceladas, que siguen apareciendo con saldo en libros.</t>
    </r>
  </si>
  <si>
    <r>
      <t xml:space="preserve">3.- </t>
    </r>
    <r>
      <rPr>
        <sz val="8"/>
        <rFont val="Arial"/>
        <family val="2"/>
      </rPr>
      <t xml:space="preserve">Se refleja saldo negativo por elaboración de cheques al día 31 de Enero de 2010, se encuentran en tránsito y se </t>
    </r>
  </si>
  <si>
    <t>*Apertura de Cuenta y Fideicomiso para la Jubilación de Trabs. Acads. y Admvos. (23 Abil de 2008)</t>
  </si>
  <si>
    <t>Fideicomiso Jubilación de Trab. Acad. y Admvos.</t>
  </si>
  <si>
    <t>1) El saldo al 31 de Enero de 2010 asciende a la cantidad de $ 115,903,442.49.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</si>
</sst>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_-[$$-80A]* #,##0.00_ ;_-[$$-80A]* \-#,##0.00\ ;_-[$$-80A]* &quot;-&quot;??_ ;_-@_ "/>
    <numFmt numFmtId="174" formatCode="_-* #,##0.00\ _P_t_s_-;\-* #,##0.00\ _P_t_s_-;_-* &quot;-&quot;\ _P_t_s_-;_-@_-"/>
    <numFmt numFmtId="175" formatCode="#,##0.00_ ;[Red]\-#,##0.00\ 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-80A]dddd\,\ dd&quot; de &quot;mmmm&quot; de &quot;yyyy"/>
    <numFmt numFmtId="184" formatCode="[$-80A]hh:mm:ss\ AM/PM"/>
    <numFmt numFmtId="185" formatCode="#\ ###\ ##0.00;\(#\ ###\ ##0.00\)"/>
    <numFmt numFmtId="186" formatCode="&quot;$&quot;\ #\ ###\ ##0.00;\(#\ ###\ ##0.00\)"/>
    <numFmt numFmtId="187" formatCode="[$€-2]\ #,##0.00_);[Red]\([$€-2]\ #,##0.00\)"/>
    <numFmt numFmtId="188" formatCode="#\ ###\ ###\ ##0.00;\(#\ ###\ ##0.00\)"/>
    <numFmt numFmtId="189" formatCode="&quot;$&quot;\ #\ ###\ ###\ ##0.00;\(#\ ###\ ##0.00\)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8"/>
      <color indexed="17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2" fontId="6" fillId="0" borderId="0" xfId="18" applyNumberFormat="1" applyFont="1" applyFill="1" applyBorder="1" applyAlignment="1">
      <alignment/>
    </xf>
    <xf numFmtId="172" fontId="5" fillId="0" borderId="0" xfId="19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0" xfId="19" applyNumberFormat="1" applyFont="1" applyFill="1" applyBorder="1" applyAlignment="1">
      <alignment/>
    </xf>
    <xf numFmtId="4" fontId="5" fillId="0" borderId="0" xfId="19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ill="1" applyBorder="1" applyAlignment="1">
      <alignment/>
    </xf>
    <xf numFmtId="4" fontId="6" fillId="0" borderId="0" xfId="17" applyNumberFormat="1" applyFont="1" applyFill="1" applyAlignment="1">
      <alignment/>
    </xf>
    <xf numFmtId="4" fontId="6" fillId="0" borderId="0" xfId="15" applyNumberFormat="1" applyFont="1" applyFill="1" applyBorder="1" applyAlignment="1">
      <alignment/>
    </xf>
    <xf numFmtId="4" fontId="6" fillId="0" borderId="0" xfId="18" applyNumberFormat="1" applyFont="1" applyFill="1" applyBorder="1" applyAlignment="1">
      <alignment/>
    </xf>
    <xf numFmtId="4" fontId="6" fillId="0" borderId="0" xfId="18" applyNumberFormat="1" applyFont="1" applyFill="1" applyBorder="1" applyAlignment="1">
      <alignment/>
    </xf>
    <xf numFmtId="2" fontId="6" fillId="0" borderId="0" xfId="23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70" fontId="1" fillId="0" borderId="0" xfId="2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3" fontId="0" fillId="0" borderId="0" xfId="20" applyNumberFormat="1" applyFont="1" applyFill="1" applyBorder="1" applyAlignment="1">
      <alignment/>
    </xf>
    <xf numFmtId="43" fontId="1" fillId="0" borderId="0" xfId="20" applyNumberFormat="1" applyFont="1" applyFill="1" applyBorder="1" applyAlignment="1">
      <alignment/>
    </xf>
    <xf numFmtId="43" fontId="0" fillId="0" borderId="0" xfId="20" applyNumberFormat="1" applyFont="1" applyFill="1" applyBorder="1" applyAlignment="1">
      <alignment horizontal="right"/>
    </xf>
    <xf numFmtId="4" fontId="8" fillId="0" borderId="0" xfId="20" applyNumberFormat="1" applyFont="1" applyFill="1" applyAlignment="1">
      <alignment/>
    </xf>
    <xf numFmtId="43" fontId="8" fillId="0" borderId="0" xfId="20" applyNumberFormat="1" applyFont="1" applyFill="1" applyBorder="1" applyAlignment="1">
      <alignment/>
    </xf>
    <xf numFmtId="4" fontId="0" fillId="0" borderId="0" xfId="2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175" fontId="0" fillId="0" borderId="0" xfId="2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171" fontId="6" fillId="0" borderId="0" xfId="17" applyNumberFormat="1" applyFont="1" applyFill="1" applyAlignment="1">
      <alignment/>
    </xf>
    <xf numFmtId="171" fontId="6" fillId="0" borderId="0" xfId="15" applyFont="1" applyFill="1" applyAlignment="1">
      <alignment horizontal="center"/>
    </xf>
    <xf numFmtId="0" fontId="5" fillId="0" borderId="0" xfId="0" applyFont="1" applyFill="1" applyBorder="1" applyAlignment="1">
      <alignment/>
    </xf>
    <xf numFmtId="171" fontId="6" fillId="0" borderId="0" xfId="15" applyFont="1" applyFill="1" applyBorder="1" applyAlignment="1">
      <alignment/>
    </xf>
    <xf numFmtId="171" fontId="6" fillId="0" borderId="0" xfId="15" applyFont="1" applyFill="1" applyAlignment="1">
      <alignment/>
    </xf>
    <xf numFmtId="171" fontId="5" fillId="0" borderId="0" xfId="15" applyFont="1" applyFill="1" applyBorder="1" applyAlignment="1">
      <alignment horizontal="center"/>
    </xf>
    <xf numFmtId="171" fontId="0" fillId="0" borderId="0" xfId="15" applyFill="1" applyAlignment="1">
      <alignment/>
    </xf>
    <xf numFmtId="4" fontId="5" fillId="0" borderId="0" xfId="15" applyNumberFormat="1" applyFont="1" applyFill="1" applyAlignment="1">
      <alignment/>
    </xf>
    <xf numFmtId="171" fontId="5" fillId="0" borderId="0" xfId="15" applyFont="1" applyFill="1" applyAlignment="1">
      <alignment/>
    </xf>
    <xf numFmtId="4" fontId="6" fillId="0" borderId="0" xfId="15" applyNumberFormat="1" applyFont="1" applyFill="1" applyAlignment="1">
      <alignment/>
    </xf>
    <xf numFmtId="4" fontId="0" fillId="0" borderId="0" xfId="15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" fontId="1" fillId="0" borderId="0" xfId="2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1" fillId="0" borderId="0" xfId="20" applyNumberFormat="1" applyFont="1" applyFill="1" applyBorder="1" applyAlignment="1">
      <alignment horizontal="right"/>
    </xf>
    <xf numFmtId="185" fontId="1" fillId="0" borderId="0" xfId="0" applyNumberFormat="1" applyFont="1" applyFill="1" applyBorder="1" applyAlignment="1">
      <alignment horizontal="left"/>
    </xf>
    <xf numFmtId="185" fontId="1" fillId="0" borderId="0" xfId="20" applyNumberFormat="1" applyFont="1" applyFill="1" applyBorder="1" applyAlignment="1">
      <alignment/>
    </xf>
    <xf numFmtId="185" fontId="4" fillId="0" borderId="0" xfId="21" applyNumberFormat="1" applyFont="1" applyFill="1" applyBorder="1" applyAlignment="1">
      <alignment/>
    </xf>
    <xf numFmtId="185" fontId="1" fillId="0" borderId="0" xfId="20" applyNumberFormat="1" applyFont="1" applyFill="1" applyAlignment="1">
      <alignment/>
    </xf>
    <xf numFmtId="185" fontId="0" fillId="0" borderId="0" xfId="0" applyNumberFormat="1" applyFill="1" applyAlignment="1">
      <alignment/>
    </xf>
    <xf numFmtId="185" fontId="0" fillId="0" borderId="0" xfId="0" applyNumberFormat="1" applyFont="1" applyFill="1" applyAlignment="1">
      <alignment/>
    </xf>
    <xf numFmtId="185" fontId="13" fillId="0" borderId="0" xfId="0" applyNumberFormat="1" applyFont="1" applyFill="1" applyAlignment="1">
      <alignment horizontal="center"/>
    </xf>
    <xf numFmtId="185" fontId="0" fillId="0" borderId="0" xfId="20" applyNumberFormat="1" applyFont="1" applyFill="1" applyBorder="1" applyAlignment="1">
      <alignment/>
    </xf>
    <xf numFmtId="185" fontId="11" fillId="0" borderId="0" xfId="20" applyNumberFormat="1" applyFont="1" applyFill="1" applyAlignment="1">
      <alignment/>
    </xf>
    <xf numFmtId="185" fontId="0" fillId="0" borderId="0" xfId="20" applyNumberFormat="1" applyFont="1" applyFill="1" applyAlignment="1">
      <alignment/>
    </xf>
    <xf numFmtId="185" fontId="11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 horizontal="center"/>
    </xf>
    <xf numFmtId="185" fontId="0" fillId="0" borderId="1" xfId="2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center"/>
    </xf>
    <xf numFmtId="185" fontId="2" fillId="0" borderId="0" xfId="20" applyNumberFormat="1" applyFont="1" applyFill="1" applyBorder="1" applyAlignment="1">
      <alignment/>
    </xf>
    <xf numFmtId="185" fontId="11" fillId="0" borderId="0" xfId="20" applyNumberFormat="1" applyFont="1" applyFill="1" applyAlignment="1">
      <alignment/>
    </xf>
    <xf numFmtId="185" fontId="0" fillId="0" borderId="0" xfId="20" applyNumberFormat="1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185" fontId="11" fillId="0" borderId="0" xfId="20" applyNumberFormat="1" applyFont="1" applyFill="1" applyBorder="1" applyAlignment="1">
      <alignment/>
    </xf>
    <xf numFmtId="185" fontId="0" fillId="0" borderId="0" xfId="20" applyNumberFormat="1" applyFont="1" applyFill="1" applyAlignment="1">
      <alignment horizontal="right"/>
    </xf>
    <xf numFmtId="185" fontId="0" fillId="0" borderId="0" xfId="21" applyNumberFormat="1" applyFont="1" applyFill="1" applyAlignment="1">
      <alignment horizontal="right"/>
    </xf>
    <xf numFmtId="185" fontId="10" fillId="0" borderId="0" xfId="20" applyNumberFormat="1" applyFont="1" applyFill="1" applyAlignment="1">
      <alignment/>
    </xf>
    <xf numFmtId="185" fontId="0" fillId="0" borderId="0" xfId="20" applyNumberFormat="1" applyFont="1" applyFill="1" applyBorder="1" applyAlignment="1">
      <alignment horizontal="right"/>
    </xf>
    <xf numFmtId="185" fontId="0" fillId="0" borderId="1" xfId="20" applyNumberFormat="1" applyFont="1" applyFill="1" applyBorder="1" applyAlignment="1">
      <alignment horizontal="right"/>
    </xf>
    <xf numFmtId="185" fontId="4" fillId="0" borderId="0" xfId="20" applyNumberFormat="1" applyFont="1" applyFill="1" applyAlignment="1">
      <alignment horizontal="right"/>
    </xf>
    <xf numFmtId="185" fontId="11" fillId="0" borderId="0" xfId="2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1" fillId="0" borderId="2" xfId="2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85" fontId="6" fillId="0" borderId="0" xfId="19" applyNumberFormat="1" applyFont="1" applyFill="1" applyBorder="1" applyAlignment="1">
      <alignment/>
    </xf>
    <xf numFmtId="185" fontId="6" fillId="0" borderId="0" xfId="23" applyNumberFormat="1" applyFont="1" applyFill="1" applyBorder="1" applyAlignment="1">
      <alignment horizontal="right"/>
    </xf>
    <xf numFmtId="185" fontId="6" fillId="0" borderId="1" xfId="0" applyNumberFormat="1" applyFont="1" applyFill="1" applyBorder="1" applyAlignment="1">
      <alignment/>
    </xf>
    <xf numFmtId="185" fontId="6" fillId="0" borderId="1" xfId="19" applyNumberFormat="1" applyFont="1" applyFill="1" applyBorder="1" applyAlignment="1">
      <alignment/>
    </xf>
    <xf numFmtId="185" fontId="6" fillId="0" borderId="1" xfId="23" applyNumberFormat="1" applyFont="1" applyFill="1" applyBorder="1" applyAlignment="1">
      <alignment horizontal="right"/>
    </xf>
    <xf numFmtId="185" fontId="6" fillId="0" borderId="0" xfId="0" applyNumberFormat="1" applyFont="1" applyFill="1" applyAlignment="1">
      <alignment/>
    </xf>
    <xf numFmtId="185" fontId="6" fillId="0" borderId="0" xfId="23" applyNumberFormat="1" applyFont="1" applyFill="1" applyAlignment="1">
      <alignment horizontal="right"/>
    </xf>
    <xf numFmtId="185" fontId="5" fillId="0" borderId="3" xfId="19" applyNumberFormat="1" applyFont="1" applyFill="1" applyBorder="1" applyAlignment="1">
      <alignment/>
    </xf>
    <xf numFmtId="185" fontId="5" fillId="0" borderId="3" xfId="19" applyNumberFormat="1" applyFont="1" applyFill="1" applyBorder="1" applyAlignment="1">
      <alignment horizontal="right"/>
    </xf>
    <xf numFmtId="185" fontId="5" fillId="0" borderId="0" xfId="19" applyNumberFormat="1" applyFont="1" applyFill="1" applyBorder="1" applyAlignment="1">
      <alignment/>
    </xf>
    <xf numFmtId="185" fontId="6" fillId="0" borderId="0" xfId="0" applyNumberFormat="1" applyFont="1" applyFill="1" applyAlignment="1">
      <alignment/>
    </xf>
    <xf numFmtId="185" fontId="5" fillId="0" borderId="4" xfId="19" applyNumberFormat="1" applyFont="1" applyFill="1" applyBorder="1" applyAlignment="1">
      <alignment/>
    </xf>
    <xf numFmtId="185" fontId="5" fillId="0" borderId="4" xfId="0" applyNumberFormat="1" applyFont="1" applyFill="1" applyBorder="1" applyAlignment="1">
      <alignment horizontal="right"/>
    </xf>
    <xf numFmtId="185" fontId="6" fillId="0" borderId="0" xfId="19" applyNumberFormat="1" applyFont="1" applyFill="1" applyBorder="1" applyAlignment="1">
      <alignment/>
    </xf>
    <xf numFmtId="185" fontId="6" fillId="0" borderId="0" xfId="23" applyNumberFormat="1" applyFont="1" applyFill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5" fillId="0" borderId="2" xfId="19" applyNumberFormat="1" applyFont="1" applyFill="1" applyBorder="1" applyAlignment="1">
      <alignment/>
    </xf>
    <xf numFmtId="185" fontId="5" fillId="0" borderId="2" xfId="0" applyNumberFormat="1" applyFont="1" applyFill="1" applyBorder="1" applyAlignment="1">
      <alignment horizontal="right"/>
    </xf>
    <xf numFmtId="185" fontId="5" fillId="0" borderId="0" xfId="19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5" fillId="0" borderId="3" xfId="0" applyNumberFormat="1" applyFont="1" applyFill="1" applyBorder="1" applyAlignment="1">
      <alignment/>
    </xf>
    <xf numFmtId="185" fontId="5" fillId="0" borderId="3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0" xfId="20" applyNumberFormat="1" applyFont="1" applyFill="1" applyBorder="1" applyAlignment="1">
      <alignment horizontal="right"/>
    </xf>
    <xf numFmtId="185" fontId="6" fillId="0" borderId="0" xfId="2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185" fontId="6" fillId="0" borderId="0" xfId="17" applyNumberFormat="1" applyFont="1" applyFill="1" applyAlignment="1">
      <alignment/>
    </xf>
    <xf numFmtId="185" fontId="6" fillId="0" borderId="0" xfId="15" applyNumberFormat="1" applyFont="1" applyFill="1" applyBorder="1" applyAlignment="1">
      <alignment/>
    </xf>
    <xf numFmtId="185" fontId="6" fillId="0" borderId="0" xfId="15" applyNumberFormat="1" applyFont="1" applyFill="1" applyBorder="1" applyAlignment="1">
      <alignment horizontal="center"/>
    </xf>
    <xf numFmtId="185" fontId="5" fillId="0" borderId="4" xfId="17" applyNumberFormat="1" applyFont="1" applyFill="1" applyBorder="1" applyAlignment="1">
      <alignment/>
    </xf>
    <xf numFmtId="185" fontId="6" fillId="0" borderId="0" xfId="15" applyNumberFormat="1" applyFont="1" applyFill="1" applyAlignment="1">
      <alignment horizontal="center"/>
    </xf>
    <xf numFmtId="185" fontId="3" fillId="0" borderId="0" xfId="0" applyNumberFormat="1" applyFont="1" applyFill="1" applyBorder="1" applyAlignment="1">
      <alignment horizontal="center"/>
    </xf>
    <xf numFmtId="185" fontId="6" fillId="0" borderId="0" xfId="15" applyNumberFormat="1" applyFont="1" applyFill="1" applyAlignment="1">
      <alignment/>
    </xf>
    <xf numFmtId="185" fontId="5" fillId="0" borderId="4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6" fillId="0" borderId="0" xfId="15" applyNumberFormat="1" applyFont="1" applyFill="1" applyBorder="1" applyAlignment="1">
      <alignment/>
    </xf>
    <xf numFmtId="185" fontId="5" fillId="0" borderId="3" xfId="15" applyNumberFormat="1" applyFont="1" applyFill="1" applyBorder="1" applyAlignment="1">
      <alignment/>
    </xf>
    <xf numFmtId="185" fontId="5" fillId="0" borderId="3" xfId="15" applyNumberFormat="1" applyFont="1" applyFill="1" applyBorder="1" applyAlignment="1">
      <alignment horizontal="right"/>
    </xf>
    <xf numFmtId="185" fontId="6" fillId="0" borderId="0" xfId="15" applyNumberFormat="1" applyFont="1" applyFill="1" applyBorder="1" applyAlignment="1">
      <alignment horizontal="right"/>
    </xf>
    <xf numFmtId="185" fontId="5" fillId="0" borderId="3" xfId="17" applyNumberFormat="1" applyFont="1" applyFill="1" applyBorder="1" applyAlignment="1">
      <alignment/>
    </xf>
    <xf numFmtId="185" fontId="5" fillId="0" borderId="3" xfId="17" applyNumberFormat="1" applyFont="1" applyFill="1" applyBorder="1" applyAlignment="1">
      <alignment horizontal="right"/>
    </xf>
    <xf numFmtId="185" fontId="6" fillId="0" borderId="0" xfId="15" applyNumberFormat="1" applyFont="1" applyFill="1" applyAlignment="1">
      <alignment/>
    </xf>
    <xf numFmtId="185" fontId="6" fillId="0" borderId="0" xfId="18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6" fillId="0" borderId="0" xfId="18" applyNumberFormat="1" applyFont="1" applyFill="1" applyBorder="1" applyAlignment="1">
      <alignment/>
    </xf>
    <xf numFmtId="185" fontId="5" fillId="0" borderId="3" xfId="0" applyNumberFormat="1" applyFont="1" applyFill="1" applyBorder="1" applyAlignment="1">
      <alignment/>
    </xf>
    <xf numFmtId="185" fontId="5" fillId="0" borderId="4" xfId="0" applyNumberFormat="1" applyFont="1" applyFill="1" applyBorder="1" applyAlignment="1">
      <alignment/>
    </xf>
    <xf numFmtId="185" fontId="0" fillId="0" borderId="0" xfId="0" applyNumberFormat="1" applyFill="1" applyAlignment="1">
      <alignment horizontal="right"/>
    </xf>
    <xf numFmtId="185" fontId="5" fillId="0" borderId="3" xfId="0" applyNumberFormat="1" applyFont="1" applyFill="1" applyBorder="1" applyAlignment="1">
      <alignment horizontal="center"/>
    </xf>
    <xf numFmtId="185" fontId="6" fillId="0" borderId="0" xfId="18" applyNumberFormat="1" applyFont="1" applyFill="1" applyBorder="1" applyAlignment="1">
      <alignment horizontal="right"/>
    </xf>
    <xf numFmtId="185" fontId="5" fillId="0" borderId="5" xfId="17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185" fontId="4" fillId="0" borderId="0" xfId="21" applyNumberFormat="1" applyFont="1" applyFill="1" applyBorder="1" applyAlignment="1">
      <alignment horizontal="right"/>
    </xf>
    <xf numFmtId="185" fontId="1" fillId="0" borderId="0" xfId="20" applyNumberFormat="1" applyFont="1" applyFill="1" applyBorder="1" applyAlignment="1">
      <alignment horizontal="right"/>
    </xf>
    <xf numFmtId="185" fontId="1" fillId="0" borderId="0" xfId="21" applyNumberFormat="1" applyFont="1" applyFill="1" applyBorder="1" applyAlignment="1">
      <alignment horizontal="right"/>
    </xf>
    <xf numFmtId="185" fontId="2" fillId="0" borderId="0" xfId="20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 horizontal="right"/>
    </xf>
    <xf numFmtId="185" fontId="8" fillId="0" borderId="0" xfId="20" applyNumberFormat="1" applyFont="1" applyFill="1" applyAlignment="1">
      <alignment horizontal="right"/>
    </xf>
    <xf numFmtId="185" fontId="10" fillId="0" borderId="0" xfId="20" applyNumberFormat="1" applyFont="1" applyFill="1" applyAlignment="1">
      <alignment horizontal="right"/>
    </xf>
    <xf numFmtId="185" fontId="9" fillId="0" borderId="0" xfId="15" applyNumberFormat="1" applyFont="1" applyFill="1" applyAlignment="1">
      <alignment horizontal="right"/>
    </xf>
    <xf numFmtId="185" fontId="11" fillId="0" borderId="0" xfId="20" applyNumberFormat="1" applyFont="1" applyFill="1" applyBorder="1" applyAlignment="1">
      <alignment horizontal="right"/>
    </xf>
    <xf numFmtId="185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/>
    </xf>
    <xf numFmtId="4" fontId="5" fillId="0" borderId="2" xfId="0" applyNumberFormat="1" applyFont="1" applyFill="1" applyBorder="1" applyAlignment="1">
      <alignment/>
    </xf>
    <xf numFmtId="185" fontId="0" fillId="0" borderId="0" xfId="21" applyNumberFormat="1" applyFont="1" applyFill="1" applyBorder="1" applyAlignment="1">
      <alignment/>
    </xf>
    <xf numFmtId="185" fontId="11" fillId="0" borderId="0" xfId="21" applyNumberFormat="1" applyFont="1" applyFill="1" applyBorder="1" applyAlignment="1">
      <alignment/>
    </xf>
    <xf numFmtId="172" fontId="6" fillId="0" borderId="0" xfId="19" applyNumberFormat="1" applyFont="1" applyFill="1" applyBorder="1" applyAlignment="1">
      <alignment/>
    </xf>
    <xf numFmtId="185" fontId="8" fillId="0" borderId="0" xfId="0" applyNumberFormat="1" applyFont="1" applyFill="1" applyAlignment="1">
      <alignment/>
    </xf>
    <xf numFmtId="185" fontId="6" fillId="0" borderId="1" xfId="17" applyNumberFormat="1" applyFont="1" applyFill="1" applyBorder="1" applyAlignment="1">
      <alignment/>
    </xf>
    <xf numFmtId="171" fontId="6" fillId="0" borderId="0" xfId="15" applyFont="1" applyAlignment="1">
      <alignment/>
    </xf>
    <xf numFmtId="0" fontId="0" fillId="0" borderId="1" xfId="0" applyBorder="1" applyAlignment="1">
      <alignment/>
    </xf>
    <xf numFmtId="17" fontId="1" fillId="0" borderId="0" xfId="20" applyNumberFormat="1" applyFont="1" applyFill="1" applyBorder="1" applyAlignment="1">
      <alignment horizontal="left"/>
    </xf>
    <xf numFmtId="17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85" fontId="16" fillId="0" borderId="0" xfId="20" applyNumberFormat="1" applyFont="1" applyFill="1" applyAlignment="1">
      <alignment/>
    </xf>
    <xf numFmtId="4" fontId="16" fillId="0" borderId="0" xfId="0" applyNumberFormat="1" applyFont="1" applyFill="1" applyAlignment="1">
      <alignment/>
    </xf>
    <xf numFmtId="185" fontId="8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Fill="1" applyAlignment="1">
      <alignment/>
    </xf>
    <xf numFmtId="171" fontId="6" fillId="0" borderId="0" xfId="15" applyFont="1" applyFill="1" applyBorder="1" applyAlignment="1">
      <alignment/>
    </xf>
    <xf numFmtId="171" fontId="6" fillId="0" borderId="1" xfId="15" applyFont="1" applyBorder="1" applyAlignment="1">
      <alignment/>
    </xf>
    <xf numFmtId="2" fontId="0" fillId="0" borderId="0" xfId="0" applyNumberFormat="1" applyFill="1" applyAlignment="1">
      <alignment/>
    </xf>
    <xf numFmtId="171" fontId="6" fillId="0" borderId="0" xfId="15" applyFont="1" applyBorder="1" applyAlignment="1">
      <alignment/>
    </xf>
    <xf numFmtId="4" fontId="1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right"/>
    </xf>
    <xf numFmtId="185" fontId="5" fillId="0" borderId="0" xfId="18" applyNumberFormat="1" applyFont="1" applyFill="1" applyBorder="1" applyAlignment="1">
      <alignment/>
    </xf>
    <xf numFmtId="188" fontId="0" fillId="0" borderId="0" xfId="20" applyNumberFormat="1" applyFont="1" applyFill="1" applyAlignment="1">
      <alignment/>
    </xf>
    <xf numFmtId="188" fontId="1" fillId="0" borderId="0" xfId="20" applyNumberFormat="1" applyFont="1" applyFill="1" applyAlignment="1">
      <alignment/>
    </xf>
    <xf numFmtId="188" fontId="1" fillId="0" borderId="1" xfId="2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 horizontal="center"/>
    </xf>
    <xf numFmtId="185" fontId="2" fillId="0" borderId="0" xfId="0" applyNumberFormat="1" applyFont="1" applyFill="1" applyAlignment="1">
      <alignment horizont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6" fontId="6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17" fillId="0" borderId="0" xfId="0" applyFont="1" applyAlignment="1">
      <alignment/>
    </xf>
    <xf numFmtId="188" fontId="5" fillId="0" borderId="3" xfId="19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85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171" fontId="5" fillId="0" borderId="3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5" fontId="5" fillId="0" borderId="2" xfId="15" applyNumberFormat="1" applyFont="1" applyFill="1" applyBorder="1" applyAlignment="1">
      <alignment horizontal="right"/>
    </xf>
    <xf numFmtId="185" fontId="6" fillId="0" borderId="0" xfId="20" applyNumberFormat="1" applyFont="1" applyFill="1" applyBorder="1" applyAlignment="1">
      <alignment/>
    </xf>
    <xf numFmtId="186" fontId="5" fillId="0" borderId="0" xfId="20" applyNumberFormat="1" applyFont="1" applyFill="1" applyBorder="1" applyAlignment="1">
      <alignment/>
    </xf>
    <xf numFmtId="185" fontId="5" fillId="0" borderId="3" xfId="2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85" fontId="6" fillId="0" borderId="1" xfId="15" applyNumberFormat="1" applyFont="1" applyFill="1" applyBorder="1" applyAlignment="1">
      <alignment/>
    </xf>
    <xf numFmtId="185" fontId="6" fillId="0" borderId="1" xfId="15" applyNumberFormat="1" applyFont="1" applyFill="1" applyBorder="1" applyAlignment="1">
      <alignment horizontal="center"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5" fontId="5" fillId="0" borderId="2" xfId="15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85" fontId="5" fillId="0" borderId="0" xfId="17" applyNumberFormat="1" applyFont="1" applyFill="1" applyBorder="1" applyAlignment="1">
      <alignment/>
    </xf>
    <xf numFmtId="185" fontId="5" fillId="0" borderId="2" xfId="17" applyNumberFormat="1" applyFont="1" applyFill="1" applyBorder="1" applyAlignment="1">
      <alignment/>
    </xf>
    <xf numFmtId="185" fontId="5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85" fontId="1" fillId="0" borderId="0" xfId="0" applyNumberFormat="1" applyFont="1" applyFill="1" applyAlignment="1">
      <alignment horizontal="right"/>
    </xf>
  </cellXfs>
  <cellStyles count="10">
    <cellStyle name="Normal" xfId="0"/>
    <cellStyle name="Comma" xfId="15"/>
    <cellStyle name="Comma [0]" xfId="16"/>
    <cellStyle name="Millares [0]_1 er Informe jun-ago. 2001" xfId="17"/>
    <cellStyle name="Millares [0]_1er informe 2001" xfId="18"/>
    <cellStyle name="Millares [0]_Ingresos" xfId="19"/>
    <cellStyle name="Millares_1er informe 200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zoomScaleSheetLayoutView="100" workbookViewId="0" topLeftCell="A1">
      <selection activeCell="I39" sqref="I39"/>
    </sheetView>
  </sheetViews>
  <sheetFormatPr defaultColWidth="11.421875" defaultRowHeight="12.75"/>
  <cols>
    <col min="1" max="1" width="12.140625" style="1" customWidth="1"/>
    <col min="2" max="2" width="1.7109375" style="1" customWidth="1"/>
    <col min="3" max="3" width="37.28125" style="1" customWidth="1"/>
    <col min="4" max="4" width="9.28125" style="1" customWidth="1"/>
    <col min="5" max="5" width="2.7109375" style="1" customWidth="1"/>
    <col min="6" max="6" width="15.57421875" style="23" customWidth="1"/>
    <col min="7" max="7" width="2.7109375" style="186" customWidth="1"/>
    <col min="8" max="8" width="15.7109375" style="23" customWidth="1"/>
    <col min="9" max="9" width="14.8515625" style="1" bestFit="1" customWidth="1"/>
    <col min="10" max="16384" width="11.421875" style="1" customWidth="1"/>
  </cols>
  <sheetData>
    <row r="2" spans="1:8" ht="15.75" customHeight="1">
      <c r="A2" s="282" t="s">
        <v>309</v>
      </c>
      <c r="B2" s="282"/>
      <c r="C2" s="282"/>
      <c r="D2" s="282"/>
      <c r="E2" s="282"/>
      <c r="F2" s="282"/>
      <c r="G2" s="282"/>
      <c r="H2" s="282"/>
    </row>
    <row r="3" spans="1:8" ht="15.75" customHeight="1">
      <c r="A3" s="282" t="s">
        <v>524</v>
      </c>
      <c r="B3" s="282"/>
      <c r="C3" s="282"/>
      <c r="D3" s="282"/>
      <c r="E3" s="282"/>
      <c r="F3" s="282"/>
      <c r="G3" s="282"/>
      <c r="H3" s="282"/>
    </row>
    <row r="4" spans="1:8" ht="12.75" customHeight="1">
      <c r="A4" s="283" t="s">
        <v>560</v>
      </c>
      <c r="B4" s="283"/>
      <c r="C4" s="283"/>
      <c r="D4" s="283"/>
      <c r="E4" s="283"/>
      <c r="F4" s="283"/>
      <c r="G4" s="283"/>
      <c r="H4" s="283"/>
    </row>
    <row r="5" spans="1:8" ht="13.5" customHeight="1">
      <c r="A5" s="283" t="s">
        <v>561</v>
      </c>
      <c r="B5" s="283"/>
      <c r="C5" s="283"/>
      <c r="D5" s="283"/>
      <c r="E5" s="283"/>
      <c r="F5" s="283"/>
      <c r="G5" s="283"/>
      <c r="H5" s="283"/>
    </row>
    <row r="6" spans="3:8" ht="20.25" customHeight="1">
      <c r="C6" s="42"/>
      <c r="D6" s="42"/>
      <c r="E6" s="42"/>
      <c r="F6" s="43"/>
      <c r="G6" s="185"/>
      <c r="H6" s="43"/>
    </row>
    <row r="7" spans="1:8" ht="16.5" customHeight="1">
      <c r="A7" s="225" t="s">
        <v>260</v>
      </c>
      <c r="B7" s="225"/>
      <c r="C7" s="278" t="s">
        <v>0</v>
      </c>
      <c r="D7" s="278"/>
      <c r="E7" s="278"/>
      <c r="F7" s="278"/>
      <c r="G7" s="224"/>
      <c r="H7" s="280" t="s">
        <v>1</v>
      </c>
    </row>
    <row r="8" spans="1:8" ht="13.5" customHeight="1">
      <c r="A8" s="88" t="s">
        <v>525</v>
      </c>
      <c r="B8" s="226"/>
      <c r="C8" s="279"/>
      <c r="D8" s="279"/>
      <c r="E8" s="279"/>
      <c r="F8" s="279"/>
      <c r="G8" s="233"/>
      <c r="H8" s="281"/>
    </row>
    <row r="9" spans="3:8" ht="20.25" customHeight="1">
      <c r="C9" s="45"/>
      <c r="D9" s="45"/>
      <c r="E9" s="45"/>
      <c r="H9" s="81"/>
    </row>
    <row r="10" spans="1:9" ht="14.25" customHeight="1">
      <c r="A10" s="17"/>
      <c r="B10" s="17"/>
      <c r="C10" s="78" t="s">
        <v>124</v>
      </c>
      <c r="D10" s="78"/>
      <c r="E10" s="99"/>
      <c r="G10" s="187" t="s">
        <v>306</v>
      </c>
      <c r="H10" s="102">
        <v>290931883.59</v>
      </c>
      <c r="I10" s="90"/>
    </row>
    <row r="11" spans="1:9" ht="14.25" customHeight="1">
      <c r="A11" s="17"/>
      <c r="B11" s="17"/>
      <c r="C11" s="78"/>
      <c r="D11" s="78"/>
      <c r="E11" s="99"/>
      <c r="F11" s="102"/>
      <c r="G11" s="188"/>
      <c r="H11" s="103"/>
      <c r="I11" s="44"/>
    </row>
    <row r="12" spans="1:9" ht="14.25" customHeight="1">
      <c r="A12" s="17"/>
      <c r="B12" s="17"/>
      <c r="C12" s="78"/>
      <c r="D12" s="78"/>
      <c r="E12" s="112"/>
      <c r="F12" s="106"/>
      <c r="G12" s="188"/>
      <c r="H12" s="103"/>
      <c r="I12" s="44"/>
    </row>
    <row r="13" spans="1:9" ht="14.25">
      <c r="A13" s="89" t="s">
        <v>302</v>
      </c>
      <c r="C13" s="7"/>
      <c r="D13" s="7"/>
      <c r="E13" s="234"/>
      <c r="F13" s="106"/>
      <c r="G13" s="188"/>
      <c r="H13" s="203"/>
      <c r="I13" s="17"/>
    </row>
    <row r="14" spans="3:9" ht="15">
      <c r="C14" s="91" t="s">
        <v>303</v>
      </c>
      <c r="D14" s="87"/>
      <c r="E14" s="105"/>
      <c r="F14" s="202"/>
      <c r="G14" s="189"/>
      <c r="I14" s="30"/>
    </row>
    <row r="15" spans="3:9" ht="14.25">
      <c r="C15" s="7"/>
      <c r="D15" s="7"/>
      <c r="E15" s="234"/>
      <c r="F15" s="106"/>
      <c r="G15" s="121"/>
      <c r="H15" s="107"/>
      <c r="I15" s="17"/>
    </row>
    <row r="16" spans="1:9" ht="14.25">
      <c r="A16" s="4" t="s">
        <v>261</v>
      </c>
      <c r="B16" s="4"/>
      <c r="C16" s="7" t="s">
        <v>2</v>
      </c>
      <c r="D16" s="197"/>
      <c r="E16" s="234" t="s">
        <v>306</v>
      </c>
      <c r="F16" s="230">
        <f>Sub!E20</f>
        <v>1266996647.74</v>
      </c>
      <c r="G16" s="119"/>
      <c r="H16" s="109"/>
      <c r="I16" s="46"/>
    </row>
    <row r="17" spans="1:9" ht="14.25">
      <c r="A17" s="4"/>
      <c r="B17" s="4"/>
      <c r="C17" s="10"/>
      <c r="D17" s="10"/>
      <c r="E17" s="110"/>
      <c r="F17" s="108"/>
      <c r="G17" s="118"/>
      <c r="H17" s="109"/>
      <c r="I17" s="46"/>
    </row>
    <row r="18" spans="1:9" ht="14.25">
      <c r="A18" s="4"/>
      <c r="B18" s="4"/>
      <c r="C18" s="7"/>
      <c r="D18" s="197"/>
      <c r="E18" s="234"/>
      <c r="F18" s="108"/>
      <c r="G18" s="118"/>
      <c r="H18" s="109"/>
      <c r="I18" s="17"/>
    </row>
    <row r="19" spans="1:9" ht="14.25">
      <c r="A19" s="4" t="s">
        <v>262</v>
      </c>
      <c r="B19" s="4"/>
      <c r="C19" s="7" t="s">
        <v>4</v>
      </c>
      <c r="D19" s="197"/>
      <c r="E19" s="234"/>
      <c r="F19" s="108">
        <f>'Ing.Prop'!E49</f>
        <v>30105628.53</v>
      </c>
      <c r="G19" s="118"/>
      <c r="H19" s="109"/>
      <c r="I19" s="46"/>
    </row>
    <row r="20" spans="1:9" ht="14.25">
      <c r="A20" s="4"/>
      <c r="B20" s="4"/>
      <c r="C20" s="10"/>
      <c r="D20" s="10"/>
      <c r="E20" s="110"/>
      <c r="F20" s="120"/>
      <c r="G20" s="118"/>
      <c r="H20" s="109"/>
      <c r="I20" s="46"/>
    </row>
    <row r="21" spans="1:9" ht="14.25">
      <c r="A21" s="4"/>
      <c r="B21" s="4"/>
      <c r="C21" s="7"/>
      <c r="D21" s="197"/>
      <c r="E21" s="234"/>
      <c r="F21" s="108"/>
      <c r="G21" s="118"/>
      <c r="H21" s="109"/>
      <c r="I21" s="17"/>
    </row>
    <row r="22" spans="1:9" ht="14.25">
      <c r="A22" s="4" t="s">
        <v>263</v>
      </c>
      <c r="B22" s="4"/>
      <c r="C22" s="7" t="s">
        <v>6</v>
      </c>
      <c r="D22" s="197"/>
      <c r="E22" s="234"/>
      <c r="F22" s="108">
        <f>'O.Ing.Prop'!E14</f>
        <v>5139388.88</v>
      </c>
      <c r="G22" s="118"/>
      <c r="H22" s="109"/>
      <c r="I22" s="46"/>
    </row>
    <row r="23" spans="1:9" ht="14.25">
      <c r="A23" s="4"/>
      <c r="B23" s="4"/>
      <c r="C23" s="10"/>
      <c r="D23" s="10"/>
      <c r="E23" s="110"/>
      <c r="F23" s="108"/>
      <c r="G23" s="118"/>
      <c r="H23" s="109"/>
      <c r="I23" s="46"/>
    </row>
    <row r="24" spans="1:9" ht="14.25">
      <c r="A24" s="4"/>
      <c r="B24" s="4"/>
      <c r="C24" s="7"/>
      <c r="D24" s="197"/>
      <c r="E24" s="234"/>
      <c r="F24" s="103"/>
      <c r="G24" s="181"/>
      <c r="H24" s="109"/>
      <c r="I24" s="17"/>
    </row>
    <row r="25" spans="1:9" ht="12.75">
      <c r="A25" s="4" t="s">
        <v>264</v>
      </c>
      <c r="B25" s="4"/>
      <c r="C25" s="7" t="s">
        <v>9</v>
      </c>
      <c r="D25" s="197"/>
      <c r="E25" s="234"/>
      <c r="F25" s="111">
        <f>'O.Ing'!E15</f>
        <v>8063024.9399999995</v>
      </c>
      <c r="G25" s="118"/>
      <c r="H25" s="231">
        <f>SUM(F16:F25)</f>
        <v>1310304690.0900002</v>
      </c>
      <c r="I25" s="46"/>
    </row>
    <row r="26" spans="3:9" ht="14.25">
      <c r="C26" s="10"/>
      <c r="D26" s="10"/>
      <c r="E26" s="110"/>
      <c r="F26" s="106"/>
      <c r="G26" s="121"/>
      <c r="H26" s="109"/>
      <c r="I26" s="46"/>
    </row>
    <row r="27" spans="1:9" ht="15.75" customHeight="1">
      <c r="A27" s="17"/>
      <c r="B27" s="17"/>
      <c r="C27" s="2"/>
      <c r="D27" s="2"/>
      <c r="E27" s="112"/>
      <c r="F27" s="100"/>
      <c r="G27" s="188"/>
      <c r="H27" s="103"/>
      <c r="I27" s="47"/>
    </row>
    <row r="28" spans="1:9" ht="14.25">
      <c r="A28" s="89" t="s">
        <v>304</v>
      </c>
      <c r="C28" s="45"/>
      <c r="D28" s="198"/>
      <c r="E28" s="235"/>
      <c r="F28" s="113"/>
      <c r="G28" s="190"/>
      <c r="H28" s="114"/>
      <c r="I28" s="17"/>
    </row>
    <row r="29" spans="3:9" ht="15">
      <c r="C29" s="91" t="s">
        <v>305</v>
      </c>
      <c r="D29" s="87"/>
      <c r="E29" s="105"/>
      <c r="F29" s="115"/>
      <c r="G29" s="121"/>
      <c r="I29" s="30"/>
    </row>
    <row r="30" spans="3:9" ht="14.25">
      <c r="C30" s="7"/>
      <c r="D30" s="197"/>
      <c r="E30" s="234"/>
      <c r="F30" s="116"/>
      <c r="G30" s="191"/>
      <c r="H30" s="117"/>
      <c r="I30" s="17"/>
    </row>
    <row r="31" spans="1:9" ht="14.25">
      <c r="A31" s="4" t="s">
        <v>265</v>
      </c>
      <c r="B31" s="4"/>
      <c r="C31" s="7" t="s">
        <v>11</v>
      </c>
      <c r="D31" s="197"/>
      <c r="E31" s="234" t="s">
        <v>306</v>
      </c>
      <c r="F31" s="118">
        <f>'Serv.Per'!E99</f>
        <v>945699957.3500001</v>
      </c>
      <c r="G31" s="119"/>
      <c r="H31" s="109"/>
      <c r="I31" s="48"/>
    </row>
    <row r="32" spans="1:9" ht="12.75">
      <c r="A32" s="4"/>
      <c r="B32" s="4"/>
      <c r="C32" s="10"/>
      <c r="D32" s="10"/>
      <c r="E32" s="110"/>
      <c r="F32" s="219"/>
      <c r="G32" s="192"/>
      <c r="H32" s="209"/>
      <c r="I32" s="212"/>
    </row>
    <row r="33" spans="1:9" ht="12.75">
      <c r="A33" s="4"/>
      <c r="B33" s="4"/>
      <c r="C33" s="7"/>
      <c r="D33" s="197"/>
      <c r="E33" s="234"/>
      <c r="G33" s="118"/>
      <c r="H33" s="209"/>
      <c r="I33" s="212"/>
    </row>
    <row r="34" spans="1:9" ht="12.75">
      <c r="A34" s="4" t="s">
        <v>266</v>
      </c>
      <c r="B34" s="4"/>
      <c r="C34" s="7" t="s">
        <v>13</v>
      </c>
      <c r="D34" s="197"/>
      <c r="E34" s="234"/>
      <c r="F34" s="118">
        <f>'Mat.Cons'!E12</f>
        <v>15360949.89</v>
      </c>
      <c r="G34" s="118"/>
      <c r="I34" s="161"/>
    </row>
    <row r="35" spans="1:9" ht="12.75">
      <c r="A35" s="4"/>
      <c r="B35" s="4"/>
      <c r="C35" s="10"/>
      <c r="D35" s="200"/>
      <c r="E35" s="110"/>
      <c r="F35" s="213"/>
      <c r="G35" s="193"/>
      <c r="H35" s="120"/>
      <c r="I35" s="48"/>
    </row>
    <row r="36" spans="1:9" ht="14.25">
      <c r="A36" s="4"/>
      <c r="B36" s="4"/>
      <c r="C36" s="7"/>
      <c r="E36" s="3"/>
      <c r="G36" s="193"/>
      <c r="H36" s="109"/>
      <c r="I36" s="17"/>
    </row>
    <row r="37" spans="1:9" ht="14.25">
      <c r="A37" s="4" t="s">
        <v>267</v>
      </c>
      <c r="B37" s="4"/>
      <c r="C37" s="7" t="s">
        <v>15</v>
      </c>
      <c r="D37" s="197"/>
      <c r="E37" s="234"/>
      <c r="F37" s="121">
        <f>'Serv.Grals'!E42</f>
        <v>27812485.56</v>
      </c>
      <c r="G37" s="121"/>
      <c r="H37" s="109"/>
      <c r="I37" s="48"/>
    </row>
    <row r="38" spans="1:9" ht="12.75">
      <c r="A38" s="4"/>
      <c r="B38" s="4"/>
      <c r="C38" s="10"/>
      <c r="D38" s="200"/>
      <c r="E38" s="110"/>
      <c r="F38" s="212"/>
      <c r="G38" s="181"/>
      <c r="I38" s="50"/>
    </row>
    <row r="39" spans="1:8" ht="12.75">
      <c r="A39" s="4"/>
      <c r="B39" s="4"/>
      <c r="C39" s="8"/>
      <c r="D39" s="200"/>
      <c r="E39" s="236"/>
      <c r="F39" s="214"/>
      <c r="G39" s="194"/>
      <c r="H39" s="103"/>
    </row>
    <row r="40" spans="1:9" ht="12.75">
      <c r="A40" s="4" t="s">
        <v>268</v>
      </c>
      <c r="B40" s="4"/>
      <c r="C40" s="7" t="s">
        <v>17</v>
      </c>
      <c r="D40" s="197"/>
      <c r="E40" s="234" t="s">
        <v>23</v>
      </c>
      <c r="F40" s="122">
        <f>'Gto.Comp'!E15</f>
        <v>199296774.77</v>
      </c>
      <c r="G40" s="121"/>
      <c r="H40" s="232">
        <f>SUM(F31:F40)</f>
        <v>1188170167.5700002</v>
      </c>
      <c r="I40" s="48"/>
    </row>
    <row r="41" spans="3:9" ht="15">
      <c r="C41" s="10"/>
      <c r="D41" s="10"/>
      <c r="E41" s="110"/>
      <c r="F41" s="115"/>
      <c r="G41" s="121"/>
      <c r="H41" s="123"/>
      <c r="I41" s="48"/>
    </row>
    <row r="42" spans="3:9" ht="10.5" customHeight="1">
      <c r="C42" s="8"/>
      <c r="D42" s="4"/>
      <c r="E42" s="236"/>
      <c r="F42" s="115"/>
      <c r="G42" s="121"/>
      <c r="H42" s="124"/>
      <c r="I42" s="17"/>
    </row>
    <row r="43" spans="1:9" ht="14.25" customHeight="1" thickBot="1">
      <c r="A43" s="2" t="s">
        <v>269</v>
      </c>
      <c r="B43" s="17"/>
      <c r="C43" s="237" t="s">
        <v>123</v>
      </c>
      <c r="D43" s="86"/>
      <c r="E43" s="127"/>
      <c r="G43" s="187" t="s">
        <v>306</v>
      </c>
      <c r="H43" s="126">
        <f>H10+H25-H40</f>
        <v>413066406.1099999</v>
      </c>
      <c r="I43" s="55"/>
    </row>
    <row r="44" spans="1:9" ht="12.75" customHeight="1" thickTop="1">
      <c r="A44" s="17"/>
      <c r="B44" s="17"/>
      <c r="C44" s="86"/>
      <c r="D44" s="86"/>
      <c r="E44" s="127"/>
      <c r="G44" s="195"/>
      <c r="H44" s="101"/>
      <c r="I44" s="98"/>
    </row>
    <row r="45" spans="1:9" ht="12.75" customHeight="1">
      <c r="A45" s="17"/>
      <c r="B45" s="17"/>
      <c r="C45" s="83"/>
      <c r="D45" s="86"/>
      <c r="E45" s="125"/>
      <c r="G45" s="191"/>
      <c r="H45" s="205"/>
      <c r="I45" s="209"/>
    </row>
    <row r="46" spans="2:9" ht="12.75">
      <c r="B46" s="2"/>
      <c r="D46" s="3"/>
      <c r="E46" s="103"/>
      <c r="G46" s="196"/>
      <c r="H46" s="103"/>
      <c r="I46" s="41"/>
    </row>
    <row r="47" spans="3:9" ht="12.75">
      <c r="C47" s="82" t="s">
        <v>523</v>
      </c>
      <c r="D47" s="52"/>
      <c r="E47" s="128"/>
      <c r="F47" s="103"/>
      <c r="G47" s="191"/>
      <c r="H47" s="205"/>
      <c r="I47" s="53"/>
    </row>
    <row r="48" spans="3:9" ht="3" customHeight="1">
      <c r="C48" s="82"/>
      <c r="D48" s="52"/>
      <c r="E48" s="128"/>
      <c r="F48" s="103"/>
      <c r="G48" s="191"/>
      <c r="H48" s="205"/>
      <c r="I48" s="53"/>
    </row>
    <row r="49" spans="3:9" ht="12.75">
      <c r="C49" s="38" t="s">
        <v>613</v>
      </c>
      <c r="D49" s="3"/>
      <c r="H49" s="49"/>
      <c r="I49" s="49"/>
    </row>
    <row r="50" ht="12.75">
      <c r="I50" s="54"/>
    </row>
    <row r="51" ht="12.75">
      <c r="I51" s="55"/>
    </row>
    <row r="52" ht="12.75">
      <c r="H52" s="51"/>
    </row>
  </sheetData>
  <mergeCells count="6">
    <mergeCell ref="C7:F8"/>
    <mergeCell ref="H7:H8"/>
    <mergeCell ref="A2:H2"/>
    <mergeCell ref="A3:H3"/>
    <mergeCell ref="A4:H4"/>
    <mergeCell ref="A5:H5"/>
  </mergeCells>
  <printOptions/>
  <pageMargins left="0.9448818897637796" right="0.35433070866141736" top="0.7874015748031497" bottom="0.7874015748031497" header="0" footer="0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H29" sqref="H29"/>
    </sheetView>
  </sheetViews>
  <sheetFormatPr defaultColWidth="11.421875" defaultRowHeight="12.75"/>
  <cols>
    <col min="1" max="1" width="33.8515625" style="1" customWidth="1"/>
    <col min="2" max="5" width="11.7109375" style="23" customWidth="1"/>
    <col min="6" max="6" width="6.57421875" style="1" customWidth="1"/>
    <col min="7" max="7" width="11.7109375" style="1" bestFit="1" customWidth="1"/>
    <col min="8" max="16384" width="11.421875" style="1" customWidth="1"/>
  </cols>
  <sheetData>
    <row r="1" spans="1:6" ht="12.75" customHeight="1">
      <c r="A1" s="248"/>
      <c r="B1" s="249"/>
      <c r="C1" s="249"/>
      <c r="D1" s="249"/>
      <c r="E1" s="287" t="s">
        <v>14</v>
      </c>
      <c r="F1" s="287"/>
    </row>
    <row r="2" spans="1:6" ht="12.75" customHeight="1">
      <c r="A2" s="286" t="s">
        <v>309</v>
      </c>
      <c r="B2" s="286"/>
      <c r="C2" s="286"/>
      <c r="D2" s="286"/>
      <c r="E2" s="286"/>
      <c r="F2" s="286"/>
    </row>
    <row r="3" spans="1:6" ht="12.75" customHeight="1">
      <c r="A3" s="286" t="s">
        <v>524</v>
      </c>
      <c r="B3" s="286"/>
      <c r="C3" s="286"/>
      <c r="D3" s="286"/>
      <c r="E3" s="286"/>
      <c r="F3" s="286"/>
    </row>
    <row r="4" spans="1:6" ht="12.75" customHeight="1">
      <c r="A4" s="286" t="s">
        <v>318</v>
      </c>
      <c r="B4" s="286"/>
      <c r="C4" s="286"/>
      <c r="D4" s="286"/>
      <c r="E4" s="286"/>
      <c r="F4" s="286"/>
    </row>
    <row r="5" spans="1:7" ht="12.75" customHeight="1">
      <c r="A5" s="286" t="s">
        <v>452</v>
      </c>
      <c r="B5" s="286"/>
      <c r="C5" s="286"/>
      <c r="D5" s="286"/>
      <c r="E5" s="286"/>
      <c r="F5" s="286"/>
      <c r="G5" s="217"/>
    </row>
    <row r="6" spans="1:6" ht="18.75" customHeight="1">
      <c r="A6" s="17"/>
      <c r="B6" s="17"/>
      <c r="C6" s="17"/>
      <c r="D6" s="17"/>
      <c r="E6" s="17"/>
      <c r="F6" s="17"/>
    </row>
    <row r="7" spans="1:6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ht="9" customHeight="1"/>
    <row r="9" spans="1:6" ht="12.75">
      <c r="A9" s="5" t="s">
        <v>68</v>
      </c>
      <c r="B9" s="161">
        <v>2359910.58</v>
      </c>
      <c r="C9" s="161">
        <v>2654271</v>
      </c>
      <c r="D9" s="161">
        <v>1637898.83</v>
      </c>
      <c r="E9" s="161">
        <f aca="true" t="shared" si="0" ref="E9:E40">SUM(B9:D9)</f>
        <v>6652080.41</v>
      </c>
      <c r="F9" s="172">
        <f aca="true" t="shared" si="1" ref="F9:F40">(E9/$E$42)*100</f>
        <v>23.917604903198736</v>
      </c>
    </row>
    <row r="10" spans="1:7" ht="12.75">
      <c r="A10" s="5" t="s">
        <v>69</v>
      </c>
      <c r="B10" s="161">
        <v>194023.09</v>
      </c>
      <c r="C10" s="161">
        <v>198350.08</v>
      </c>
      <c r="D10" s="161">
        <v>272426.22</v>
      </c>
      <c r="E10" s="161">
        <f t="shared" si="0"/>
        <v>664799.3899999999</v>
      </c>
      <c r="F10" s="172">
        <f t="shared" si="1"/>
        <v>2.3902911825907296</v>
      </c>
      <c r="G10" s="140"/>
    </row>
    <row r="11" spans="1:7" ht="12.75">
      <c r="A11" s="5" t="s">
        <v>70</v>
      </c>
      <c r="B11" s="161">
        <v>13963.3</v>
      </c>
      <c r="C11" s="161">
        <v>2047318.2</v>
      </c>
      <c r="D11" s="161">
        <v>1008429.54</v>
      </c>
      <c r="E11" s="161">
        <f t="shared" si="0"/>
        <v>3069711.04</v>
      </c>
      <c r="F11" s="172">
        <f t="shared" si="1"/>
        <v>11.037169020286585</v>
      </c>
      <c r="G11" s="103"/>
    </row>
    <row r="12" spans="1:6" ht="12.75">
      <c r="A12" s="5" t="s">
        <v>129</v>
      </c>
      <c r="B12" s="161">
        <v>139594.31</v>
      </c>
      <c r="C12" s="161">
        <v>159872</v>
      </c>
      <c r="D12" s="161">
        <v>158599</v>
      </c>
      <c r="E12" s="161">
        <f t="shared" si="0"/>
        <v>458065.31</v>
      </c>
      <c r="F12" s="172">
        <f t="shared" si="1"/>
        <v>1.6469772506014022</v>
      </c>
    </row>
    <row r="13" spans="1:6" ht="12.75">
      <c r="A13" s="5" t="s">
        <v>71</v>
      </c>
      <c r="B13" s="161">
        <v>113056.53</v>
      </c>
      <c r="C13" s="161">
        <v>81583.03</v>
      </c>
      <c r="D13" s="161">
        <v>149101.41</v>
      </c>
      <c r="E13" s="161">
        <f t="shared" si="0"/>
        <v>343740.97</v>
      </c>
      <c r="F13" s="172">
        <f t="shared" si="1"/>
        <v>1.2359232304442767</v>
      </c>
    </row>
    <row r="14" spans="1:6" ht="12.75">
      <c r="A14" s="5" t="s">
        <v>242</v>
      </c>
      <c r="B14" s="161">
        <v>171841.97</v>
      </c>
      <c r="C14" s="161">
        <v>131521.12</v>
      </c>
      <c r="D14" s="161">
        <v>214669.49</v>
      </c>
      <c r="E14" s="161">
        <f t="shared" si="0"/>
        <v>518032.57999999996</v>
      </c>
      <c r="F14" s="172">
        <f t="shared" si="1"/>
        <v>1.8625900187253888</v>
      </c>
    </row>
    <row r="15" spans="1:6" ht="12.75">
      <c r="A15" s="5" t="s">
        <v>374</v>
      </c>
      <c r="B15" s="161">
        <v>45589.67</v>
      </c>
      <c r="C15" s="161"/>
      <c r="D15" s="161">
        <v>17341.16</v>
      </c>
      <c r="E15" s="161">
        <f t="shared" si="0"/>
        <v>62930.83</v>
      </c>
      <c r="F15" s="172">
        <f t="shared" si="1"/>
        <v>0.22626827028544086</v>
      </c>
    </row>
    <row r="16" spans="1:6" ht="12.75">
      <c r="A16" s="5" t="s">
        <v>243</v>
      </c>
      <c r="B16" s="161">
        <v>26650</v>
      </c>
      <c r="C16" s="161">
        <v>25350</v>
      </c>
      <c r="D16" s="161">
        <v>25350</v>
      </c>
      <c r="E16" s="161">
        <f t="shared" si="0"/>
        <v>77350</v>
      </c>
      <c r="F16" s="172">
        <f t="shared" si="1"/>
        <v>0.278112503944074</v>
      </c>
    </row>
    <row r="17" spans="1:6" ht="12.75">
      <c r="A17" s="5" t="s">
        <v>72</v>
      </c>
      <c r="B17" s="161">
        <v>66149.08</v>
      </c>
      <c r="C17" s="161">
        <v>201341.27</v>
      </c>
      <c r="D17" s="161">
        <v>54901.03</v>
      </c>
      <c r="E17" s="161">
        <f t="shared" si="0"/>
        <v>322391.38</v>
      </c>
      <c r="F17" s="172">
        <f t="shared" si="1"/>
        <v>1.1591606198033024</v>
      </c>
    </row>
    <row r="18" spans="1:6" ht="12.75">
      <c r="A18" s="5" t="s">
        <v>421</v>
      </c>
      <c r="B18" s="161"/>
      <c r="C18" s="161">
        <v>50000</v>
      </c>
      <c r="D18" s="161"/>
      <c r="E18" s="161">
        <f t="shared" si="0"/>
        <v>50000</v>
      </c>
      <c r="F18" s="172">
        <f t="shared" si="1"/>
        <v>0.17977537423663476</v>
      </c>
    </row>
    <row r="19" spans="1:6" ht="12.75">
      <c r="A19" s="5" t="s">
        <v>73</v>
      </c>
      <c r="B19" s="161">
        <v>910374.5</v>
      </c>
      <c r="C19" s="161">
        <v>701672.5</v>
      </c>
      <c r="D19" s="161">
        <v>656927.2</v>
      </c>
      <c r="E19" s="161">
        <f t="shared" si="0"/>
        <v>2268974.2</v>
      </c>
      <c r="F19" s="172">
        <f t="shared" si="1"/>
        <v>8.15811371876538</v>
      </c>
    </row>
    <row r="20" spans="1:6" ht="12.75">
      <c r="A20" s="5" t="s">
        <v>292</v>
      </c>
      <c r="B20" s="161">
        <v>98000</v>
      </c>
      <c r="C20" s="161">
        <v>143750</v>
      </c>
      <c r="D20" s="161">
        <v>133050</v>
      </c>
      <c r="E20" s="161">
        <f t="shared" si="0"/>
        <v>374800</v>
      </c>
      <c r="F20" s="172">
        <f t="shared" si="1"/>
        <v>1.3475962052778143</v>
      </c>
    </row>
    <row r="21" spans="1:6" ht="12.75">
      <c r="A21" s="5" t="s">
        <v>445</v>
      </c>
      <c r="B21" s="161">
        <v>19999.65</v>
      </c>
      <c r="C21" s="161">
        <v>19999.65</v>
      </c>
      <c r="D21" s="161">
        <v>14950</v>
      </c>
      <c r="E21" s="161">
        <f t="shared" si="0"/>
        <v>54949.3</v>
      </c>
      <c r="F21" s="172">
        <f t="shared" si="1"/>
        <v>0.1975706194308223</v>
      </c>
    </row>
    <row r="22" spans="1:6" ht="12.75">
      <c r="A22" s="5" t="s">
        <v>299</v>
      </c>
      <c r="B22" s="161">
        <v>101500</v>
      </c>
      <c r="C22" s="161">
        <v>161000</v>
      </c>
      <c r="D22" s="161">
        <v>54300</v>
      </c>
      <c r="E22" s="161">
        <f t="shared" si="0"/>
        <v>316800</v>
      </c>
      <c r="F22" s="172">
        <f t="shared" si="1"/>
        <v>1.139056771163318</v>
      </c>
    </row>
    <row r="23" spans="1:6" ht="12.75">
      <c r="A23" s="5" t="s">
        <v>74</v>
      </c>
      <c r="B23" s="161">
        <v>86999.59</v>
      </c>
      <c r="C23" s="161">
        <v>645837.24</v>
      </c>
      <c r="D23" s="161">
        <v>302473.58</v>
      </c>
      <c r="E23" s="161">
        <f t="shared" si="0"/>
        <v>1035310.4099999999</v>
      </c>
      <c r="F23" s="172">
        <f t="shared" si="1"/>
        <v>3.7224663281766754</v>
      </c>
    </row>
    <row r="24" spans="1:6" ht="12.75">
      <c r="A24" s="5" t="s">
        <v>75</v>
      </c>
      <c r="B24" s="161">
        <v>724949.53</v>
      </c>
      <c r="C24" s="161">
        <v>95737</v>
      </c>
      <c r="D24" s="161">
        <v>716507.5</v>
      </c>
      <c r="E24" s="161">
        <f t="shared" si="0"/>
        <v>1537194.03</v>
      </c>
      <c r="F24" s="172">
        <f t="shared" si="1"/>
        <v>5.526992640351415</v>
      </c>
    </row>
    <row r="25" spans="1:6" ht="12.75">
      <c r="A25" s="5" t="s">
        <v>125</v>
      </c>
      <c r="B25" s="161">
        <v>38918.91</v>
      </c>
      <c r="C25" s="161">
        <v>68273.4</v>
      </c>
      <c r="D25" s="161"/>
      <c r="E25" s="161">
        <f t="shared" si="0"/>
        <v>107192.31</v>
      </c>
      <c r="F25" s="172">
        <f t="shared" si="1"/>
        <v>0.3854107529107873</v>
      </c>
    </row>
    <row r="26" spans="1:6" ht="12.75">
      <c r="A26" s="5" t="s">
        <v>144</v>
      </c>
      <c r="B26" s="161"/>
      <c r="C26" s="161">
        <v>256319.15</v>
      </c>
      <c r="D26" s="161"/>
      <c r="E26" s="161">
        <f t="shared" si="0"/>
        <v>256319.15</v>
      </c>
      <c r="F26" s="172">
        <f t="shared" si="1"/>
        <v>0.9215974223053224</v>
      </c>
    </row>
    <row r="27" spans="1:6" ht="12.75">
      <c r="A27" s="5" t="s">
        <v>383</v>
      </c>
      <c r="B27" s="161"/>
      <c r="C27" s="161">
        <v>1296</v>
      </c>
      <c r="D27" s="161">
        <v>1969</v>
      </c>
      <c r="E27" s="161">
        <f t="shared" si="0"/>
        <v>3265</v>
      </c>
      <c r="F27" s="172">
        <f t="shared" si="1"/>
        <v>0.01173933193765225</v>
      </c>
    </row>
    <row r="28" spans="1:6" ht="12.75">
      <c r="A28" s="5" t="s">
        <v>599</v>
      </c>
      <c r="B28" s="161"/>
      <c r="C28" s="161">
        <v>10867.5</v>
      </c>
      <c r="D28" s="161"/>
      <c r="E28" s="161">
        <f>SUM(B28:D28)</f>
        <v>10867.5</v>
      </c>
      <c r="F28" s="172">
        <f t="shared" si="1"/>
        <v>0.03907417759033256</v>
      </c>
    </row>
    <row r="29" spans="1:6" ht="12.75">
      <c r="A29" s="5" t="s">
        <v>434</v>
      </c>
      <c r="B29" s="161">
        <v>98250</v>
      </c>
      <c r="C29" s="161">
        <v>97500</v>
      </c>
      <c r="D29" s="161">
        <v>1097500</v>
      </c>
      <c r="E29" s="161">
        <f t="shared" si="0"/>
        <v>1293250</v>
      </c>
      <c r="F29" s="172">
        <f t="shared" si="1"/>
        <v>4.649890054630558</v>
      </c>
    </row>
    <row r="30" spans="1:6" ht="12.75">
      <c r="A30" s="5" t="s">
        <v>76</v>
      </c>
      <c r="B30" s="161">
        <v>434038.83</v>
      </c>
      <c r="C30" s="161">
        <v>83515.25</v>
      </c>
      <c r="D30" s="161">
        <v>30641.6</v>
      </c>
      <c r="E30" s="161">
        <f t="shared" si="0"/>
        <v>548195.68</v>
      </c>
      <c r="F30" s="172">
        <f t="shared" si="1"/>
        <v>1.9710416705381297</v>
      </c>
    </row>
    <row r="31" spans="1:6" ht="12.75">
      <c r="A31" s="5" t="s">
        <v>325</v>
      </c>
      <c r="B31" s="161">
        <v>854547.96</v>
      </c>
      <c r="C31" s="161">
        <v>1807624.92</v>
      </c>
      <c r="D31" s="161">
        <v>606074</v>
      </c>
      <c r="E31" s="161">
        <f t="shared" si="0"/>
        <v>3268246.88</v>
      </c>
      <c r="F31" s="172">
        <f t="shared" si="1"/>
        <v>11.751006118994278</v>
      </c>
    </row>
    <row r="32" spans="1:7" ht="12.75">
      <c r="A32" s="5" t="s">
        <v>286</v>
      </c>
      <c r="B32" s="161">
        <v>223885</v>
      </c>
      <c r="C32" s="161">
        <v>550</v>
      </c>
      <c r="D32" s="161">
        <v>27724</v>
      </c>
      <c r="E32" s="161">
        <f t="shared" si="0"/>
        <v>252159</v>
      </c>
      <c r="F32" s="172">
        <f t="shared" si="1"/>
        <v>0.9066395718427116</v>
      </c>
      <c r="G32" s="67"/>
    </row>
    <row r="33" spans="1:6" ht="12.75">
      <c r="A33" s="5" t="s">
        <v>77</v>
      </c>
      <c r="B33" s="161">
        <v>460900</v>
      </c>
      <c r="C33" s="161">
        <f>301762+268</f>
        <v>302030</v>
      </c>
      <c r="D33" s="161">
        <v>630512.4</v>
      </c>
      <c r="E33" s="161">
        <f t="shared" si="0"/>
        <v>1393442.4</v>
      </c>
      <c r="F33" s="172">
        <f t="shared" si="1"/>
        <v>5.01013257874389</v>
      </c>
    </row>
    <row r="34" spans="1:6" ht="12.75">
      <c r="A34" s="5" t="s">
        <v>279</v>
      </c>
      <c r="B34" s="161">
        <v>890</v>
      </c>
      <c r="C34" s="161">
        <v>3500</v>
      </c>
      <c r="D34" s="161">
        <v>1400</v>
      </c>
      <c r="E34" s="161">
        <f t="shared" si="0"/>
        <v>5790</v>
      </c>
      <c r="F34" s="172">
        <f t="shared" si="1"/>
        <v>0.020817988336602304</v>
      </c>
    </row>
    <row r="35" spans="1:6" ht="12.75">
      <c r="A35" s="5" t="s">
        <v>253</v>
      </c>
      <c r="B35" s="161">
        <v>78100</v>
      </c>
      <c r="C35" s="161">
        <v>99850</v>
      </c>
      <c r="D35" s="161">
        <v>88110</v>
      </c>
      <c r="E35" s="161">
        <f t="shared" si="0"/>
        <v>266060</v>
      </c>
      <c r="F35" s="172">
        <f t="shared" si="1"/>
        <v>0.9566207213879808</v>
      </c>
    </row>
    <row r="36" spans="1:6" ht="12.75">
      <c r="A36" s="5" t="s">
        <v>422</v>
      </c>
      <c r="B36" s="161"/>
      <c r="C36" s="161">
        <v>592</v>
      </c>
      <c r="D36" s="161"/>
      <c r="E36" s="161">
        <f t="shared" si="0"/>
        <v>592</v>
      </c>
      <c r="F36" s="172">
        <f t="shared" si="1"/>
        <v>0.0021285404309617554</v>
      </c>
    </row>
    <row r="37" spans="1:6" ht="12.75">
      <c r="A37" s="5" t="s">
        <v>78</v>
      </c>
      <c r="B37" s="161">
        <v>76884</v>
      </c>
      <c r="C37" s="161">
        <v>119193.04</v>
      </c>
      <c r="D37" s="161">
        <v>29624</v>
      </c>
      <c r="E37" s="161">
        <f t="shared" si="0"/>
        <v>225701.03999999998</v>
      </c>
      <c r="F37" s="172">
        <f t="shared" si="1"/>
        <v>0.8115097786319534</v>
      </c>
    </row>
    <row r="38" spans="1:6" ht="12.75">
      <c r="A38" s="5" t="s">
        <v>446</v>
      </c>
      <c r="B38" s="161">
        <v>29440</v>
      </c>
      <c r="C38" s="161">
        <v>9545</v>
      </c>
      <c r="D38" s="161">
        <v>402548</v>
      </c>
      <c r="E38" s="161">
        <f t="shared" si="0"/>
        <v>441533</v>
      </c>
      <c r="F38" s="172">
        <f t="shared" si="1"/>
        <v>1.587535206256481</v>
      </c>
    </row>
    <row r="39" spans="1:6" ht="12.75">
      <c r="A39" s="5" t="s">
        <v>338</v>
      </c>
      <c r="B39" s="161">
        <v>334164.7</v>
      </c>
      <c r="C39" s="161">
        <v>865375</v>
      </c>
      <c r="D39" s="161">
        <v>718335.3</v>
      </c>
      <c r="E39" s="161">
        <f t="shared" si="0"/>
        <v>1917875</v>
      </c>
      <c r="F39" s="172">
        <f t="shared" si="1"/>
        <v>6.895733917281718</v>
      </c>
    </row>
    <row r="40" spans="1:6" ht="12.75">
      <c r="A40" s="5" t="s">
        <v>216</v>
      </c>
      <c r="B40" s="161"/>
      <c r="C40" s="161"/>
      <c r="D40" s="161">
        <v>14866.75</v>
      </c>
      <c r="E40" s="161">
        <f t="shared" si="0"/>
        <v>14866.75</v>
      </c>
      <c r="F40" s="172">
        <f t="shared" si="1"/>
        <v>0.053453510898649796</v>
      </c>
    </row>
    <row r="41" spans="1:6" ht="7.5" customHeight="1">
      <c r="A41" s="5"/>
      <c r="B41" s="161"/>
      <c r="C41" s="161"/>
      <c r="D41" s="161"/>
      <c r="E41" s="161"/>
      <c r="F41" s="172"/>
    </row>
    <row r="42" spans="1:6" ht="13.5" thickBot="1">
      <c r="A42" s="2" t="s">
        <v>111</v>
      </c>
      <c r="B42" s="170">
        <f>SUM(B9:B41)</f>
        <v>7702621.2</v>
      </c>
      <c r="C42" s="170">
        <f>SUM(C9:C41)</f>
        <v>11043634.350000001</v>
      </c>
      <c r="D42" s="170">
        <f>SUM(D9:D41)</f>
        <v>9066230.01</v>
      </c>
      <c r="E42" s="170">
        <f>SUM(E9:E41)</f>
        <v>27812485.56</v>
      </c>
      <c r="F42" s="171">
        <f>SUM(F9:F41)</f>
        <v>100</v>
      </c>
    </row>
    <row r="43" spans="1:6" ht="13.5" thickTop="1">
      <c r="A43" s="17"/>
      <c r="B43" s="116"/>
      <c r="C43" s="116"/>
      <c r="D43" s="116"/>
      <c r="E43" s="116"/>
      <c r="F43" s="175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B1" sqref="B1:E16384"/>
    </sheetView>
  </sheetViews>
  <sheetFormatPr defaultColWidth="11.421875" defaultRowHeight="12.75"/>
  <cols>
    <col min="1" max="1" width="33.8515625" style="1" customWidth="1"/>
    <col min="2" max="5" width="12.7109375" style="23" customWidth="1"/>
    <col min="6" max="6" width="6.57421875" style="1" customWidth="1"/>
    <col min="7" max="7" width="3.57421875" style="1" customWidth="1"/>
    <col min="8" max="16384" width="11.421875" style="1" customWidth="1"/>
  </cols>
  <sheetData>
    <row r="1" spans="1:6" ht="12.75" customHeight="1">
      <c r="A1" s="248"/>
      <c r="B1" s="249"/>
      <c r="C1" s="249"/>
      <c r="D1" s="249"/>
      <c r="E1" s="287" t="s">
        <v>16</v>
      </c>
      <c r="F1" s="287"/>
    </row>
    <row r="2" spans="1:6" ht="12.75" customHeight="1">
      <c r="A2" s="286" t="s">
        <v>309</v>
      </c>
      <c r="B2" s="286"/>
      <c r="C2" s="286"/>
      <c r="D2" s="286"/>
      <c r="E2" s="286"/>
      <c r="F2" s="286"/>
    </row>
    <row r="3" spans="1:6" ht="12.75" customHeight="1">
      <c r="A3" s="286" t="s">
        <v>524</v>
      </c>
      <c r="B3" s="286"/>
      <c r="C3" s="286"/>
      <c r="D3" s="286"/>
      <c r="E3" s="286"/>
      <c r="F3" s="286"/>
    </row>
    <row r="4" spans="1:6" ht="12.75" customHeight="1">
      <c r="A4" s="286" t="s">
        <v>427</v>
      </c>
      <c r="B4" s="286"/>
      <c r="C4" s="286"/>
      <c r="D4" s="286"/>
      <c r="E4" s="286"/>
      <c r="F4" s="286"/>
    </row>
    <row r="5" spans="1:7" ht="12.75" customHeight="1">
      <c r="A5" s="286" t="s">
        <v>452</v>
      </c>
      <c r="B5" s="286"/>
      <c r="C5" s="286"/>
      <c r="D5" s="286"/>
      <c r="E5" s="286"/>
      <c r="F5" s="286"/>
      <c r="G5" s="217"/>
    </row>
    <row r="6" spans="1:7" ht="18.75" customHeight="1">
      <c r="A6" s="93"/>
      <c r="B6" s="93"/>
      <c r="C6" s="93"/>
      <c r="D6" s="93"/>
      <c r="E6" s="93"/>
      <c r="F6" s="93"/>
      <c r="G6" s="37"/>
    </row>
    <row r="7" spans="1:6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ht="9" customHeight="1"/>
    <row r="9" spans="1:7" ht="15" customHeight="1">
      <c r="A9" s="5" t="s">
        <v>186</v>
      </c>
      <c r="B9" s="161">
        <f>'G.C.Op'!B86</f>
        <v>66611429.839999996</v>
      </c>
      <c r="C9" s="161">
        <f>'G.C.Op'!C86</f>
        <v>60024525.09</v>
      </c>
      <c r="D9" s="161">
        <f>'G.C.Op'!D86</f>
        <v>13223073.230000002</v>
      </c>
      <c r="E9" s="161">
        <f>SUM(B9:D9)</f>
        <v>139859028.16</v>
      </c>
      <c r="F9" s="172">
        <f>(E9/$E$15)*100</f>
        <v>70.17626267229132</v>
      </c>
      <c r="G9" s="69"/>
    </row>
    <row r="10" spans="1:7" ht="15" customHeight="1">
      <c r="A10" s="5" t="s">
        <v>137</v>
      </c>
      <c r="B10" s="161">
        <f>'G.C.Viat'!B50</f>
        <v>200285</v>
      </c>
      <c r="C10" s="161">
        <f>'G.C.Viat'!C50</f>
        <v>198584</v>
      </c>
      <c r="D10" s="161">
        <f>'G.C.Viat'!D50</f>
        <v>174564.09</v>
      </c>
      <c r="E10" s="161">
        <f>SUM(B10:D10)</f>
        <v>573433.09</v>
      </c>
      <c r="F10" s="172">
        <f>(E10/$E$15)*100</f>
        <v>0.28772823376684087</v>
      </c>
      <c r="G10" s="69"/>
    </row>
    <row r="11" spans="1:7" ht="15" customHeight="1">
      <c r="A11" s="5" t="s">
        <v>79</v>
      </c>
      <c r="B11" s="161">
        <f>'G.C.Ing.Prop'!B109</f>
        <v>8989413.09</v>
      </c>
      <c r="C11" s="161">
        <f>'G.C.Ing.Prop'!C109</f>
        <v>10935618.47</v>
      </c>
      <c r="D11" s="161">
        <f>'G.C.Ing.Prop'!D109</f>
        <v>8325144.91</v>
      </c>
      <c r="E11" s="161">
        <f>SUM(B11:D11)</f>
        <v>28250176.470000003</v>
      </c>
      <c r="F11" s="172">
        <f>(E11/$E$15)*100</f>
        <v>14.174929073790752</v>
      </c>
      <c r="G11" s="69"/>
    </row>
    <row r="12" spans="1:7" ht="15" customHeight="1">
      <c r="A12" s="5" t="s">
        <v>138</v>
      </c>
      <c r="B12" s="161">
        <f>'G.C.Donat'!B28</f>
        <v>848632.2</v>
      </c>
      <c r="C12" s="161">
        <f>'G.C.Donat'!C28</f>
        <v>791277.66</v>
      </c>
      <c r="D12" s="161">
        <f>'G.C.Donat'!D28</f>
        <v>1493883.3199999998</v>
      </c>
      <c r="E12" s="161">
        <f>SUM(B12:D12)</f>
        <v>3133793.1799999997</v>
      </c>
      <c r="F12" s="172">
        <f>(E12/$E$15)*100</f>
        <v>1.5724254361951306</v>
      </c>
      <c r="G12" s="69"/>
    </row>
    <row r="13" spans="1:7" ht="15" customHeight="1">
      <c r="A13" s="5" t="s">
        <v>187</v>
      </c>
      <c r="B13" s="161">
        <f>'G.C.Etiq'!B13</f>
        <v>8326792.26</v>
      </c>
      <c r="C13" s="161">
        <f>'G.C.Etiq'!C13</f>
        <v>9294471.51</v>
      </c>
      <c r="D13" s="161">
        <f>'G.C.Etiq'!D13</f>
        <v>9859080.100000001</v>
      </c>
      <c r="E13" s="161">
        <f>SUM(B13:D13)</f>
        <v>27480343.87</v>
      </c>
      <c r="F13" s="172">
        <f>(E13/$E$15)*100</f>
        <v>13.788654583955964</v>
      </c>
      <c r="G13" s="69"/>
    </row>
    <row r="14" spans="1:7" ht="9" customHeight="1">
      <c r="A14" s="5"/>
      <c r="B14" s="161"/>
      <c r="C14" s="161"/>
      <c r="D14" s="161"/>
      <c r="E14" s="161"/>
      <c r="F14" s="172"/>
      <c r="G14" s="69"/>
    </row>
    <row r="15" spans="1:7" ht="15" customHeight="1" thickBot="1">
      <c r="A15" s="2" t="s">
        <v>111</v>
      </c>
      <c r="B15" s="170">
        <f>SUM(B9:B13)</f>
        <v>84976552.39</v>
      </c>
      <c r="C15" s="170">
        <f>SUM(C9:C13)</f>
        <v>81244476.73</v>
      </c>
      <c r="D15" s="170">
        <f>SUM(D9:D13)</f>
        <v>33075745.650000006</v>
      </c>
      <c r="E15" s="170">
        <f>SUM(E9:E13)</f>
        <v>199296774.77</v>
      </c>
      <c r="F15" s="171">
        <f>SUM(F9:F13)</f>
        <v>100</v>
      </c>
      <c r="G15" s="69" t="s">
        <v>23</v>
      </c>
    </row>
    <row r="16" spans="1:7" ht="13.5" thickTop="1">
      <c r="A16" s="17"/>
      <c r="B16" s="116"/>
      <c r="C16" s="116"/>
      <c r="D16" s="116"/>
      <c r="E16" s="116"/>
      <c r="F16" s="175"/>
      <c r="G16" s="68"/>
    </row>
    <row r="31" ht="12.75">
      <c r="A31" s="8"/>
    </row>
    <row r="34" ht="12.75">
      <c r="A34" s="8" t="s">
        <v>56</v>
      </c>
    </row>
    <row r="35" ht="12.75">
      <c r="A35" s="70"/>
    </row>
    <row r="36" ht="12.75">
      <c r="A36" s="8" t="s">
        <v>307</v>
      </c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7874015748031497" bottom="0.984251968503937" header="0" footer="0"/>
  <pageSetup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H41" sqref="H41"/>
    </sheetView>
  </sheetViews>
  <sheetFormatPr defaultColWidth="11.421875" defaultRowHeight="12.75"/>
  <cols>
    <col min="1" max="1" width="46.8515625" style="1" customWidth="1"/>
    <col min="2" max="2" width="11.140625" style="23" bestFit="1" customWidth="1"/>
    <col min="3" max="3" width="11.140625" style="23" customWidth="1"/>
    <col min="4" max="4" width="11.140625" style="23" bestFit="1" customWidth="1"/>
    <col min="5" max="5" width="11.7109375" style="23" customWidth="1"/>
    <col min="6" max="6" width="6.57421875" style="1" bestFit="1" customWidth="1"/>
    <col min="7" max="7" width="2.7109375" style="1" customWidth="1"/>
    <col min="8" max="16384" width="11.421875" style="1" customWidth="1"/>
  </cols>
  <sheetData>
    <row r="1" spans="1:6" ht="12.75">
      <c r="A1" s="248"/>
      <c r="B1" s="249"/>
      <c r="C1" s="249"/>
      <c r="D1" s="249"/>
      <c r="E1" s="287" t="s">
        <v>131</v>
      </c>
      <c r="F1" s="287"/>
    </row>
    <row r="2" spans="1:6" ht="12.75">
      <c r="A2" s="286" t="s">
        <v>309</v>
      </c>
      <c r="B2" s="286"/>
      <c r="C2" s="286"/>
      <c r="D2" s="286"/>
      <c r="E2" s="286"/>
      <c r="F2" s="286"/>
    </row>
    <row r="3" spans="1:6" ht="12.75">
      <c r="A3" s="286" t="s">
        <v>524</v>
      </c>
      <c r="B3" s="286"/>
      <c r="C3" s="286"/>
      <c r="D3" s="286"/>
      <c r="E3" s="286"/>
      <c r="F3" s="286"/>
    </row>
    <row r="4" spans="1:6" ht="12.75">
      <c r="A4" s="286" t="s">
        <v>319</v>
      </c>
      <c r="B4" s="286"/>
      <c r="C4" s="286"/>
      <c r="D4" s="286"/>
      <c r="E4" s="286"/>
      <c r="F4" s="286"/>
    </row>
    <row r="5" spans="1:7" ht="12.75" customHeight="1">
      <c r="A5" s="286" t="s">
        <v>452</v>
      </c>
      <c r="B5" s="286"/>
      <c r="C5" s="286"/>
      <c r="D5" s="286"/>
      <c r="E5" s="286"/>
      <c r="F5" s="286"/>
      <c r="G5" s="217"/>
    </row>
    <row r="6" spans="1:6" ht="18.75" customHeight="1">
      <c r="A6" s="17"/>
      <c r="B6" s="17"/>
      <c r="C6" s="17"/>
      <c r="D6" s="17"/>
      <c r="E6" s="17"/>
      <c r="F6" s="17"/>
    </row>
    <row r="7" spans="1:6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ht="9" customHeight="1"/>
    <row r="9" spans="1:6" ht="12" customHeight="1">
      <c r="A9" s="1" t="s">
        <v>80</v>
      </c>
      <c r="B9" s="176">
        <f>113752.5</f>
        <v>113752.5</v>
      </c>
      <c r="C9" s="135">
        <f>30000+14000</f>
        <v>44000</v>
      </c>
      <c r="D9" s="176">
        <f>30000+30451.41</f>
        <v>60451.41</v>
      </c>
      <c r="E9" s="135">
        <f aca="true" t="shared" si="0" ref="E9:E48">SUM(B9:D9)</f>
        <v>218203.91</v>
      </c>
      <c r="F9" s="136">
        <f aca="true" t="shared" si="1" ref="F9:F40">(E9/$E$86*100)</f>
        <v>0.15601703577574755</v>
      </c>
    </row>
    <row r="10" spans="1:6" ht="12" customHeight="1">
      <c r="A10" s="1" t="s">
        <v>394</v>
      </c>
      <c r="B10" s="176">
        <f>20000+49000</f>
        <v>69000</v>
      </c>
      <c r="C10" s="176">
        <f>20000+70000-5000</f>
        <v>85000</v>
      </c>
      <c r="D10" s="176">
        <f>20000-10000-4350-200</f>
        <v>5450</v>
      </c>
      <c r="E10" s="135">
        <f t="shared" si="0"/>
        <v>159450</v>
      </c>
      <c r="F10" s="136">
        <f t="shared" si="1"/>
        <v>0.11400765620764058</v>
      </c>
    </row>
    <row r="11" spans="1:6" ht="12" customHeight="1">
      <c r="A11" s="1" t="s">
        <v>188</v>
      </c>
      <c r="B11" s="176">
        <v>15000</v>
      </c>
      <c r="C11" s="176">
        <v>15000</v>
      </c>
      <c r="D11" s="176">
        <f>15000</f>
        <v>15000</v>
      </c>
      <c r="E11" s="135">
        <f t="shared" si="0"/>
        <v>45000</v>
      </c>
      <c r="F11" s="136">
        <f t="shared" si="1"/>
        <v>0.032175255750039676</v>
      </c>
    </row>
    <row r="12" spans="1:6" ht="12" customHeight="1">
      <c r="A12" s="1" t="s">
        <v>326</v>
      </c>
      <c r="B12" s="176"/>
      <c r="C12" s="176">
        <v>80000</v>
      </c>
      <c r="D12" s="176">
        <f>80000+12800</f>
        <v>92800</v>
      </c>
      <c r="E12" s="135">
        <f t="shared" si="0"/>
        <v>172800</v>
      </c>
      <c r="F12" s="136">
        <f t="shared" si="1"/>
        <v>0.12355298208015235</v>
      </c>
    </row>
    <row r="13" spans="1:6" ht="12" customHeight="1">
      <c r="A13" s="1" t="s">
        <v>183</v>
      </c>
      <c r="B13" s="176">
        <f>20000+34275.59</f>
        <v>54275.59</v>
      </c>
      <c r="C13" s="176">
        <f>20000+30000</f>
        <v>50000</v>
      </c>
      <c r="D13" s="176">
        <f>20000+20000</f>
        <v>40000</v>
      </c>
      <c r="E13" s="135">
        <f t="shared" si="0"/>
        <v>144275.59</v>
      </c>
      <c r="F13" s="136">
        <f t="shared" si="1"/>
        <v>0.10315786681639703</v>
      </c>
    </row>
    <row r="14" spans="1:6" ht="12" customHeight="1">
      <c r="A14" s="1" t="s">
        <v>395</v>
      </c>
      <c r="B14" s="161">
        <f>5000+6405.75</f>
        <v>11405.75</v>
      </c>
      <c r="C14" s="176">
        <f>5000+2402.75</f>
        <v>7402.75</v>
      </c>
      <c r="D14" s="161">
        <f>5000+3556</f>
        <v>8556</v>
      </c>
      <c r="E14" s="135">
        <f t="shared" si="0"/>
        <v>27364.5</v>
      </c>
      <c r="F14" s="136">
        <f t="shared" si="1"/>
        <v>0.019565773021599127</v>
      </c>
    </row>
    <row r="15" spans="1:6" ht="12" customHeight="1">
      <c r="A15" s="1" t="s">
        <v>396</v>
      </c>
      <c r="B15" s="176">
        <v>17000</v>
      </c>
      <c r="C15" s="176">
        <v>20000</v>
      </c>
      <c r="D15" s="176">
        <f>17000+6000</f>
        <v>23000</v>
      </c>
      <c r="E15" s="135">
        <f t="shared" si="0"/>
        <v>60000</v>
      </c>
      <c r="F15" s="136">
        <f t="shared" si="1"/>
        <v>0.042900341000052904</v>
      </c>
    </row>
    <row r="16" spans="1:6" ht="12" customHeight="1">
      <c r="A16" s="6" t="s">
        <v>336</v>
      </c>
      <c r="B16" s="176">
        <v>21000</v>
      </c>
      <c r="C16" s="176">
        <f>21000+14762</f>
        <v>35762</v>
      </c>
      <c r="D16" s="176">
        <f>21000</f>
        <v>21000</v>
      </c>
      <c r="E16" s="135">
        <f t="shared" si="0"/>
        <v>77762</v>
      </c>
      <c r="F16" s="136">
        <f t="shared" si="1"/>
        <v>0.05560027194743523</v>
      </c>
    </row>
    <row r="17" spans="1:6" ht="12" customHeight="1">
      <c r="A17" s="6" t="s">
        <v>229</v>
      </c>
      <c r="B17" s="176">
        <v>5000</v>
      </c>
      <c r="C17" s="176">
        <v>5000</v>
      </c>
      <c r="D17" s="176">
        <f>5000</f>
        <v>5000</v>
      </c>
      <c r="E17" s="135">
        <f t="shared" si="0"/>
        <v>15000</v>
      </c>
      <c r="F17" s="136">
        <f t="shared" si="1"/>
        <v>0.010725085250013226</v>
      </c>
    </row>
    <row r="18" spans="1:6" ht="12" customHeight="1">
      <c r="A18" s="6" t="s">
        <v>81</v>
      </c>
      <c r="B18" s="176">
        <v>10000</v>
      </c>
      <c r="C18" s="176">
        <f>10000+15000</f>
        <v>25000</v>
      </c>
      <c r="D18" s="176">
        <f>10000</f>
        <v>10000</v>
      </c>
      <c r="E18" s="135">
        <f t="shared" si="0"/>
        <v>45000</v>
      </c>
      <c r="F18" s="136">
        <f t="shared" si="1"/>
        <v>0.032175255750039676</v>
      </c>
    </row>
    <row r="19" spans="1:6" ht="12" customHeight="1">
      <c r="A19" s="6" t="s">
        <v>82</v>
      </c>
      <c r="B19" s="176">
        <v>20000</v>
      </c>
      <c r="C19" s="176">
        <v>40000</v>
      </c>
      <c r="D19" s="176"/>
      <c r="E19" s="135">
        <f t="shared" si="0"/>
        <v>60000</v>
      </c>
      <c r="F19" s="136">
        <f t="shared" si="1"/>
        <v>0.042900341000052904</v>
      </c>
    </row>
    <row r="20" spans="1:6" ht="12" customHeight="1">
      <c r="A20" s="6" t="s">
        <v>484</v>
      </c>
      <c r="B20" s="176"/>
      <c r="C20" s="176">
        <v>4000</v>
      </c>
      <c r="D20" s="176">
        <f>4000</f>
        <v>4000</v>
      </c>
      <c r="E20" s="135">
        <f>SUM(B20:D20)</f>
        <v>8000</v>
      </c>
      <c r="F20" s="136">
        <f t="shared" si="1"/>
        <v>0.0057200454666737205</v>
      </c>
    </row>
    <row r="21" spans="1:6" ht="12" customHeight="1">
      <c r="A21" s="6" t="s">
        <v>189</v>
      </c>
      <c r="B21" s="176">
        <f>8000+12000</f>
        <v>20000</v>
      </c>
      <c r="C21" s="176">
        <f>8000+32000</f>
        <v>40000</v>
      </c>
      <c r="D21" s="176">
        <f>8000+32000</f>
        <v>40000</v>
      </c>
      <c r="E21" s="135">
        <f t="shared" si="0"/>
        <v>100000</v>
      </c>
      <c r="F21" s="136">
        <f t="shared" si="1"/>
        <v>0.0715005683334215</v>
      </c>
    </row>
    <row r="22" spans="1:6" ht="12" customHeight="1">
      <c r="A22" s="6" t="s">
        <v>517</v>
      </c>
      <c r="B22" s="176"/>
      <c r="C22" s="176"/>
      <c r="D22" s="176">
        <v>8381.16</v>
      </c>
      <c r="E22" s="135">
        <f>SUM(B22:D22)</f>
        <v>8381.16</v>
      </c>
      <c r="F22" s="136">
        <f t="shared" si="1"/>
        <v>0.005992577032933389</v>
      </c>
    </row>
    <row r="23" spans="1:6" ht="12" customHeight="1">
      <c r="A23" s="6" t="s">
        <v>156</v>
      </c>
      <c r="B23" s="176">
        <f>40000+10000</f>
        <v>50000</v>
      </c>
      <c r="C23" s="176">
        <f>40000+8800</f>
        <v>48800</v>
      </c>
      <c r="D23" s="176">
        <f>40000</f>
        <v>40000</v>
      </c>
      <c r="E23" s="135">
        <f t="shared" si="0"/>
        <v>138800</v>
      </c>
      <c r="F23" s="136">
        <f t="shared" si="1"/>
        <v>0.09924278884678905</v>
      </c>
    </row>
    <row r="24" spans="1:6" ht="12" customHeight="1">
      <c r="A24" s="6" t="s">
        <v>83</v>
      </c>
      <c r="B24" s="176">
        <f>30000+1755450.54</f>
        <v>1785450.54</v>
      </c>
      <c r="C24" s="176">
        <f>30000+686382</f>
        <v>716382</v>
      </c>
      <c r="D24" s="176">
        <f>30000+1785095.25</f>
        <v>1815095.25</v>
      </c>
      <c r="E24" s="135">
        <f t="shared" si="0"/>
        <v>4316927.79</v>
      </c>
      <c r="F24" s="136">
        <f t="shared" si="1"/>
        <v>3.0866279043934126</v>
      </c>
    </row>
    <row r="25" spans="1:6" ht="12" customHeight="1">
      <c r="A25" s="6" t="s">
        <v>84</v>
      </c>
      <c r="B25" s="176">
        <f>10000+22180.75</f>
        <v>32180.75</v>
      </c>
      <c r="C25" s="176">
        <v>10000</v>
      </c>
      <c r="D25" s="176">
        <f>10000</f>
        <v>10000</v>
      </c>
      <c r="E25" s="135">
        <f t="shared" si="0"/>
        <v>52180.75</v>
      </c>
      <c r="F25" s="136">
        <f t="shared" si="1"/>
        <v>0.037309532810641845</v>
      </c>
    </row>
    <row r="26" spans="1:6" ht="12" customHeight="1">
      <c r="A26" s="1" t="s">
        <v>287</v>
      </c>
      <c r="B26" s="176"/>
      <c r="C26" s="176">
        <f>120000+310400</f>
        <v>430400</v>
      </c>
      <c r="D26" s="176"/>
      <c r="E26" s="135">
        <f t="shared" si="0"/>
        <v>430400</v>
      </c>
      <c r="F26" s="136">
        <f t="shared" si="1"/>
        <v>0.30773844610704615</v>
      </c>
    </row>
    <row r="27" spans="1:6" ht="12" customHeight="1">
      <c r="A27" s="6" t="s">
        <v>360</v>
      </c>
      <c r="B27" s="176">
        <f>5000+8000</f>
        <v>13000</v>
      </c>
      <c r="C27" s="176">
        <v>5000</v>
      </c>
      <c r="D27" s="176">
        <f>5000</f>
        <v>5000</v>
      </c>
      <c r="E27" s="135">
        <f t="shared" si="0"/>
        <v>23000</v>
      </c>
      <c r="F27" s="136">
        <f t="shared" si="1"/>
        <v>0.016445130716686948</v>
      </c>
    </row>
    <row r="28" spans="1:7" ht="12" customHeight="1">
      <c r="A28" s="1" t="s">
        <v>168</v>
      </c>
      <c r="B28" s="176">
        <f>25000+48000</f>
        <v>73000</v>
      </c>
      <c r="C28" s="176">
        <v>25000</v>
      </c>
      <c r="D28" s="176">
        <f>25000</f>
        <v>25000</v>
      </c>
      <c r="E28" s="135">
        <f t="shared" si="0"/>
        <v>123000</v>
      </c>
      <c r="F28" s="136">
        <f t="shared" si="1"/>
        <v>0.08794569905010845</v>
      </c>
      <c r="G28" s="8"/>
    </row>
    <row r="29" spans="1:6" ht="12" customHeight="1">
      <c r="A29" s="1" t="s">
        <v>190</v>
      </c>
      <c r="B29" s="176">
        <f>7000+3675.72</f>
        <v>10675.72</v>
      </c>
      <c r="C29" s="176">
        <v>7000</v>
      </c>
      <c r="D29" s="176">
        <f>7000</f>
        <v>7000</v>
      </c>
      <c r="E29" s="135">
        <f t="shared" si="0"/>
        <v>24675.72</v>
      </c>
      <c r="F29" s="136">
        <f t="shared" si="1"/>
        <v>0.017643280040363758</v>
      </c>
    </row>
    <row r="30" spans="1:6" ht="12" customHeight="1">
      <c r="A30" s="1" t="s">
        <v>397</v>
      </c>
      <c r="B30" s="176">
        <f>15000+64927.5</f>
        <v>79927.5</v>
      </c>
      <c r="C30" s="176">
        <f>15000+120107.42</f>
        <v>135107.41999999998</v>
      </c>
      <c r="D30" s="176">
        <f>15000+47500</f>
        <v>62500</v>
      </c>
      <c r="E30" s="135">
        <f t="shared" si="0"/>
        <v>277534.92</v>
      </c>
      <c r="F30" s="136">
        <f t="shared" si="1"/>
        <v>0.19843904512370666</v>
      </c>
    </row>
    <row r="31" spans="1:6" ht="12" customHeight="1">
      <c r="A31" s="1" t="s">
        <v>94</v>
      </c>
      <c r="B31" s="176">
        <f>8000+2829</f>
        <v>10829</v>
      </c>
      <c r="C31" s="176">
        <v>8000</v>
      </c>
      <c r="D31" s="176">
        <f>8000</f>
        <v>8000</v>
      </c>
      <c r="E31" s="135">
        <f t="shared" si="0"/>
        <v>26829</v>
      </c>
      <c r="F31" s="136">
        <f t="shared" si="1"/>
        <v>0.019182887478173656</v>
      </c>
    </row>
    <row r="32" spans="1:6" ht="12" customHeight="1">
      <c r="A32" s="1" t="s">
        <v>428</v>
      </c>
      <c r="B32" s="176">
        <v>5000</v>
      </c>
      <c r="C32" s="176"/>
      <c r="D32" s="176"/>
      <c r="E32" s="135">
        <f t="shared" si="0"/>
        <v>5000</v>
      </c>
      <c r="F32" s="136">
        <f t="shared" si="1"/>
        <v>0.0035750284166710753</v>
      </c>
    </row>
    <row r="33" spans="1:6" ht="12" customHeight="1">
      <c r="A33" s="1" t="s">
        <v>213</v>
      </c>
      <c r="B33" s="176">
        <f>15000+10000-8000</f>
        <v>17000</v>
      </c>
      <c r="C33" s="161">
        <v>5000</v>
      </c>
      <c r="D33" s="176">
        <f>5000+5000</f>
        <v>10000</v>
      </c>
      <c r="E33" s="135">
        <f t="shared" si="0"/>
        <v>32000</v>
      </c>
      <c r="F33" s="136">
        <f t="shared" si="1"/>
        <v>0.022880181866694882</v>
      </c>
    </row>
    <row r="34" spans="1:6" ht="12" customHeight="1">
      <c r="A34" s="1" t="s">
        <v>377</v>
      </c>
      <c r="B34" s="161">
        <v>6000</v>
      </c>
      <c r="C34" s="176">
        <v>6000</v>
      </c>
      <c r="D34" s="161">
        <f>6000</f>
        <v>6000</v>
      </c>
      <c r="E34" s="135">
        <f t="shared" si="0"/>
        <v>18000</v>
      </c>
      <c r="F34" s="136">
        <f t="shared" si="1"/>
        <v>0.012870102300015871</v>
      </c>
    </row>
    <row r="35" spans="1:6" ht="12" customHeight="1">
      <c r="A35" s="1" t="s">
        <v>486</v>
      </c>
      <c r="B35" s="161"/>
      <c r="C35" s="176">
        <v>8000</v>
      </c>
      <c r="D35" s="161"/>
      <c r="E35" s="135">
        <f>SUM(B35:D35)</f>
        <v>8000</v>
      </c>
      <c r="F35" s="136">
        <f t="shared" si="1"/>
        <v>0.0057200454666737205</v>
      </c>
    </row>
    <row r="36" spans="1:6" ht="12" customHeight="1">
      <c r="A36" s="1" t="s">
        <v>558</v>
      </c>
      <c r="B36" s="176">
        <f>10000+12832.73</f>
        <v>22832.73</v>
      </c>
      <c r="C36" s="176">
        <f>10000+3272</f>
        <v>13272</v>
      </c>
      <c r="D36" s="176">
        <f>10000</f>
        <v>10000</v>
      </c>
      <c r="E36" s="135">
        <f t="shared" si="0"/>
        <v>46104.729999999996</v>
      </c>
      <c r="F36" s="136">
        <f t="shared" si="1"/>
        <v>0.03296514397858948</v>
      </c>
    </row>
    <row r="37" spans="1:6" ht="12" customHeight="1">
      <c r="A37" s="1" t="s">
        <v>191</v>
      </c>
      <c r="B37" s="176">
        <f>600000+200000</f>
        <v>800000</v>
      </c>
      <c r="C37" s="176">
        <v>1139410</v>
      </c>
      <c r="D37" s="176">
        <f>600000+2360000</f>
        <v>2960000</v>
      </c>
      <c r="E37" s="135">
        <f t="shared" si="0"/>
        <v>4899410</v>
      </c>
      <c r="F37" s="136">
        <f t="shared" si="1"/>
        <v>3.5031059949844865</v>
      </c>
    </row>
    <row r="38" spans="1:6" ht="12" customHeight="1">
      <c r="A38" s="1" t="s">
        <v>280</v>
      </c>
      <c r="B38" s="176">
        <f>50000+28885040</f>
        <v>28935040</v>
      </c>
      <c r="C38" s="176">
        <v>35513450.6</v>
      </c>
      <c r="D38" s="176">
        <f>50000+1150000</f>
        <v>1200000</v>
      </c>
      <c r="E38" s="135">
        <f t="shared" si="0"/>
        <v>65648490.6</v>
      </c>
      <c r="F38" s="136">
        <f t="shared" si="1"/>
        <v>46.93904388131279</v>
      </c>
    </row>
    <row r="39" spans="1:6" ht="12" customHeight="1">
      <c r="A39" s="1" t="s">
        <v>146</v>
      </c>
      <c r="B39" s="176">
        <v>5000</v>
      </c>
      <c r="C39" s="176">
        <v>5000</v>
      </c>
      <c r="D39" s="176">
        <f>5000</f>
        <v>5000</v>
      </c>
      <c r="E39" s="135">
        <f t="shared" si="0"/>
        <v>15000</v>
      </c>
      <c r="F39" s="136">
        <f t="shared" si="1"/>
        <v>0.010725085250013226</v>
      </c>
    </row>
    <row r="40" spans="1:6" ht="12" customHeight="1">
      <c r="A40" s="1" t="s">
        <v>192</v>
      </c>
      <c r="B40" s="176">
        <f>30838425.86</f>
        <v>30838425.86</v>
      </c>
      <c r="C40" s="176">
        <v>19030255.5</v>
      </c>
      <c r="D40" s="176">
        <v>3009055.3</v>
      </c>
      <c r="E40" s="135">
        <f t="shared" si="0"/>
        <v>52877736.66</v>
      </c>
      <c r="F40" s="136">
        <f t="shared" si="1"/>
        <v>37.80788223374997</v>
      </c>
    </row>
    <row r="41" spans="1:6" ht="12" customHeight="1">
      <c r="A41" s="1" t="s">
        <v>157</v>
      </c>
      <c r="B41" s="176">
        <v>7000</v>
      </c>
      <c r="C41" s="176">
        <v>7000</v>
      </c>
      <c r="D41" s="176">
        <f>7000</f>
        <v>7000</v>
      </c>
      <c r="E41" s="135">
        <f t="shared" si="0"/>
        <v>21000</v>
      </c>
      <c r="F41" s="136">
        <f aca="true" t="shared" si="2" ref="F41:F61">(E41/$E$86*100)</f>
        <v>0.015015119350018515</v>
      </c>
    </row>
    <row r="42" spans="1:6" ht="12" customHeight="1">
      <c r="A42" s="1" t="s">
        <v>158</v>
      </c>
      <c r="B42" s="160">
        <f>12000+40000</f>
        <v>52000</v>
      </c>
      <c r="C42" s="176">
        <f>5000+5000</f>
        <v>10000</v>
      </c>
      <c r="D42" s="160">
        <f>2000</f>
        <v>2000</v>
      </c>
      <c r="E42" s="135">
        <f t="shared" si="0"/>
        <v>64000</v>
      </c>
      <c r="F42" s="136">
        <f t="shared" si="2"/>
        <v>0.045760363733389764</v>
      </c>
    </row>
    <row r="43" spans="1:6" ht="12" customHeight="1">
      <c r="A43" s="1" t="s">
        <v>230</v>
      </c>
      <c r="B43" s="160">
        <v>44000</v>
      </c>
      <c r="C43" s="176">
        <f>44000+40668</f>
        <v>84668</v>
      </c>
      <c r="D43" s="160">
        <f>44000</f>
        <v>44000</v>
      </c>
      <c r="E43" s="135">
        <f t="shared" si="0"/>
        <v>172668</v>
      </c>
      <c r="F43" s="136">
        <f t="shared" si="2"/>
        <v>0.12345860132995225</v>
      </c>
    </row>
    <row r="44" spans="1:6" ht="12" customHeight="1">
      <c r="A44" s="1" t="s">
        <v>85</v>
      </c>
      <c r="B44" s="176">
        <f>27500+318320.75</f>
        <v>345820.75</v>
      </c>
      <c r="C44" s="176">
        <f>27500+199513.51</f>
        <v>227013.51</v>
      </c>
      <c r="D44" s="176">
        <f>27500+173875.8</f>
        <v>201375.8</v>
      </c>
      <c r="E44" s="135">
        <f t="shared" si="0"/>
        <v>774210.06</v>
      </c>
      <c r="F44" s="136">
        <f t="shared" si="2"/>
        <v>0.5535645929945237</v>
      </c>
    </row>
    <row r="45" spans="1:6" ht="12" customHeight="1">
      <c r="A45" s="1" t="s">
        <v>485</v>
      </c>
      <c r="B45" s="176"/>
      <c r="C45" s="176">
        <v>10000</v>
      </c>
      <c r="D45" s="176">
        <f>5000+16000</f>
        <v>21000</v>
      </c>
      <c r="E45" s="135">
        <f>SUM(B45:D45)</f>
        <v>31000</v>
      </c>
      <c r="F45" s="136">
        <f t="shared" si="2"/>
        <v>0.022165176183360665</v>
      </c>
    </row>
    <row r="46" spans="1:6" ht="12" customHeight="1">
      <c r="A46" s="1" t="s">
        <v>366</v>
      </c>
      <c r="B46" s="176">
        <v>10000</v>
      </c>
      <c r="C46" s="176">
        <v>10000</v>
      </c>
      <c r="D46" s="176">
        <f>10000</f>
        <v>10000</v>
      </c>
      <c r="E46" s="135">
        <f t="shared" si="0"/>
        <v>30000</v>
      </c>
      <c r="F46" s="136">
        <f t="shared" si="2"/>
        <v>0.021450170500026452</v>
      </c>
    </row>
    <row r="47" spans="1:6" ht="12" customHeight="1">
      <c r="A47" s="1" t="s">
        <v>159</v>
      </c>
      <c r="B47" s="176">
        <v>5000</v>
      </c>
      <c r="C47" s="176">
        <f>5000+1045</f>
        <v>6045</v>
      </c>
      <c r="D47" s="176">
        <f>5000+150000</f>
        <v>155000</v>
      </c>
      <c r="E47" s="135">
        <f t="shared" si="0"/>
        <v>166045</v>
      </c>
      <c r="F47" s="136">
        <f t="shared" si="2"/>
        <v>0.11872311868922975</v>
      </c>
    </row>
    <row r="48" spans="1:6" ht="12" customHeight="1">
      <c r="A48" s="1" t="s">
        <v>398</v>
      </c>
      <c r="B48" s="176">
        <f>12000+5000</f>
        <v>17000</v>
      </c>
      <c r="C48" s="176">
        <v>12000</v>
      </c>
      <c r="D48" s="176">
        <f>12000</f>
        <v>12000</v>
      </c>
      <c r="E48" s="135">
        <f t="shared" si="0"/>
        <v>41000</v>
      </c>
      <c r="F48" s="136">
        <f t="shared" si="2"/>
        <v>0.02931523301670282</v>
      </c>
    </row>
    <row r="49" spans="1:6" ht="12" customHeight="1">
      <c r="A49" s="1" t="s">
        <v>207</v>
      </c>
      <c r="B49" s="176">
        <f>6000+19000</f>
        <v>25000</v>
      </c>
      <c r="C49" s="176">
        <v>6000</v>
      </c>
      <c r="D49" s="176">
        <f>6000</f>
        <v>6000</v>
      </c>
      <c r="E49" s="135">
        <f aca="true" t="shared" si="3" ref="E49:E61">SUM(B49:D49)</f>
        <v>37000</v>
      </c>
      <c r="F49" s="136">
        <f t="shared" si="2"/>
        <v>0.026455210283365956</v>
      </c>
    </row>
    <row r="50" spans="1:6" ht="12" customHeight="1">
      <c r="A50" s="1" t="s">
        <v>86</v>
      </c>
      <c r="B50" s="176">
        <v>7500</v>
      </c>
      <c r="C50" s="176">
        <v>7500</v>
      </c>
      <c r="D50" s="176">
        <f>7500</f>
        <v>7500</v>
      </c>
      <c r="E50" s="135">
        <f t="shared" si="3"/>
        <v>22500</v>
      </c>
      <c r="F50" s="136">
        <f t="shared" si="2"/>
        <v>0.016087627875019838</v>
      </c>
    </row>
    <row r="51" spans="1:6" ht="12" customHeight="1">
      <c r="A51" s="1" t="s">
        <v>127</v>
      </c>
      <c r="B51" s="176">
        <v>10000</v>
      </c>
      <c r="C51" s="176">
        <f>10000+9614</f>
        <v>19614</v>
      </c>
      <c r="D51" s="176">
        <f>10000</f>
        <v>10000</v>
      </c>
      <c r="E51" s="135">
        <f t="shared" si="3"/>
        <v>39614</v>
      </c>
      <c r="F51" s="136">
        <f t="shared" si="2"/>
        <v>0.02832423513960159</v>
      </c>
    </row>
    <row r="52" spans="1:6" ht="12" customHeight="1">
      <c r="A52" s="1" t="s">
        <v>87</v>
      </c>
      <c r="B52" s="176">
        <f>10000+8000</f>
        <v>18000</v>
      </c>
      <c r="C52" s="176">
        <f>10000+5000</f>
        <v>15000</v>
      </c>
      <c r="D52" s="176">
        <f>10000</f>
        <v>10000</v>
      </c>
      <c r="E52" s="135">
        <f t="shared" si="3"/>
        <v>43000</v>
      </c>
      <c r="F52" s="136">
        <f t="shared" si="2"/>
        <v>0.030745244383371246</v>
      </c>
    </row>
    <row r="53" spans="1:6" ht="12" customHeight="1">
      <c r="A53" s="1" t="s">
        <v>160</v>
      </c>
      <c r="B53" s="176">
        <f>15000+3000</f>
        <v>18000</v>
      </c>
      <c r="C53" s="176">
        <f>15000+3500</f>
        <v>18500</v>
      </c>
      <c r="D53" s="176">
        <f>15000</f>
        <v>15000</v>
      </c>
      <c r="E53" s="135">
        <f t="shared" si="3"/>
        <v>51500</v>
      </c>
      <c r="F53" s="136">
        <f t="shared" si="2"/>
        <v>0.036822792691712077</v>
      </c>
    </row>
    <row r="54" spans="1:6" ht="12" customHeight="1">
      <c r="A54" s="1" t="s">
        <v>145</v>
      </c>
      <c r="B54" s="176">
        <v>6000</v>
      </c>
      <c r="C54" s="176">
        <v>6000</v>
      </c>
      <c r="D54" s="176">
        <f>6000</f>
        <v>6000</v>
      </c>
      <c r="E54" s="135">
        <f t="shared" si="3"/>
        <v>18000</v>
      </c>
      <c r="F54" s="136">
        <f t="shared" si="2"/>
        <v>0.012870102300015871</v>
      </c>
    </row>
    <row r="55" spans="1:6" ht="12" customHeight="1">
      <c r="A55" s="1" t="s">
        <v>429</v>
      </c>
      <c r="B55" s="176"/>
      <c r="C55" s="176"/>
      <c r="D55" s="176">
        <v>20000</v>
      </c>
      <c r="E55" s="135">
        <f t="shared" si="3"/>
        <v>20000</v>
      </c>
      <c r="F55" s="136">
        <f t="shared" si="2"/>
        <v>0.014300113666684301</v>
      </c>
    </row>
    <row r="56" spans="1:6" ht="12" customHeight="1">
      <c r="A56" s="1" t="s">
        <v>139</v>
      </c>
      <c r="B56" s="176">
        <v>5000</v>
      </c>
      <c r="C56" s="176">
        <v>5000</v>
      </c>
      <c r="D56" s="176">
        <f>5000</f>
        <v>5000</v>
      </c>
      <c r="E56" s="135">
        <f t="shared" si="3"/>
        <v>15000</v>
      </c>
      <c r="F56" s="136">
        <f t="shared" si="2"/>
        <v>0.010725085250013226</v>
      </c>
    </row>
    <row r="57" spans="1:6" ht="12" customHeight="1">
      <c r="A57" s="1" t="s">
        <v>467</v>
      </c>
      <c r="B57" s="176">
        <v>12000</v>
      </c>
      <c r="C57" s="176">
        <v>5000</v>
      </c>
      <c r="D57" s="176">
        <f>5000</f>
        <v>5000</v>
      </c>
      <c r="E57" s="135">
        <f t="shared" si="3"/>
        <v>22000</v>
      </c>
      <c r="F57" s="136">
        <f t="shared" si="2"/>
        <v>0.01573012503335273</v>
      </c>
    </row>
    <row r="58" spans="1:6" ht="12" customHeight="1">
      <c r="A58" s="1" t="s">
        <v>161</v>
      </c>
      <c r="B58" s="176">
        <f>200000+773087.76</f>
        <v>973087.76</v>
      </c>
      <c r="C58" s="176">
        <v>550327.74</v>
      </c>
      <c r="D58" s="176">
        <f>100000+641322.26</f>
        <v>741322.26</v>
      </c>
      <c r="E58" s="135">
        <f t="shared" si="3"/>
        <v>2264737.76</v>
      </c>
      <c r="F58" s="136">
        <f t="shared" si="2"/>
        <v>1.6193003696615995</v>
      </c>
    </row>
    <row r="59" spans="1:6" ht="12" customHeight="1">
      <c r="A59" s="1" t="s">
        <v>211</v>
      </c>
      <c r="B59" s="176"/>
      <c r="C59" s="176">
        <v>4594.41</v>
      </c>
      <c r="D59" s="176"/>
      <c r="E59" s="135">
        <f t="shared" si="3"/>
        <v>4594.41</v>
      </c>
      <c r="F59" s="136">
        <f t="shared" si="2"/>
        <v>0.003285029261567551</v>
      </c>
    </row>
    <row r="60" spans="1:6" ht="12" customHeight="1">
      <c r="A60" s="1" t="s">
        <v>162</v>
      </c>
      <c r="B60" s="176">
        <v>4000</v>
      </c>
      <c r="C60" s="176">
        <v>4000</v>
      </c>
      <c r="D60" s="176">
        <f>4000</f>
        <v>4000</v>
      </c>
      <c r="E60" s="135">
        <f t="shared" si="3"/>
        <v>12000</v>
      </c>
      <c r="F60" s="136">
        <f t="shared" si="2"/>
        <v>0.00858006820001058</v>
      </c>
    </row>
    <row r="61" spans="1:6" ht="12" customHeight="1">
      <c r="A61" s="1" t="s">
        <v>416</v>
      </c>
      <c r="B61" s="176"/>
      <c r="C61" s="176"/>
      <c r="D61" s="176">
        <v>10446.37</v>
      </c>
      <c r="E61" s="135">
        <f t="shared" si="3"/>
        <v>10446.37</v>
      </c>
      <c r="F61" s="136">
        <f t="shared" si="2"/>
        <v>0.007469213920212045</v>
      </c>
    </row>
    <row r="62" spans="1:6" ht="12" customHeight="1">
      <c r="A62" s="1" t="s">
        <v>559</v>
      </c>
      <c r="B62" s="176">
        <v>4000</v>
      </c>
      <c r="C62" s="176"/>
      <c r="D62" s="176"/>
      <c r="E62" s="135">
        <f aca="true" t="shared" si="4" ref="E62:E77">SUM(B62:D62)</f>
        <v>4000</v>
      </c>
      <c r="F62" s="136">
        <f aca="true" t="shared" si="5" ref="F62:F84">(E62/$E$86*100)</f>
        <v>0.0028600227333368602</v>
      </c>
    </row>
    <row r="63" spans="1:6" ht="12" customHeight="1">
      <c r="A63" s="1" t="s">
        <v>210</v>
      </c>
      <c r="B63" s="176">
        <f>209000+300085.54</f>
        <v>509085.54</v>
      </c>
      <c r="C63" s="176">
        <f>194000+254666.24</f>
        <v>448666.24</v>
      </c>
      <c r="D63" s="176">
        <f>194000+157214.75</f>
        <v>351214.75</v>
      </c>
      <c r="E63" s="135">
        <f t="shared" si="4"/>
        <v>1308966.53</v>
      </c>
      <c r="F63" s="136">
        <f t="shared" si="5"/>
        <v>0.9359185082442663</v>
      </c>
    </row>
    <row r="64" spans="1:6" ht="12" customHeight="1">
      <c r="A64" s="1" t="s">
        <v>148</v>
      </c>
      <c r="B64" s="176">
        <f>200000+836981.97</f>
        <v>1036981.97</v>
      </c>
      <c r="C64" s="176">
        <f>200000+522263.49</f>
        <v>722263.49</v>
      </c>
      <c r="D64" s="176">
        <f>200000+951146.71</f>
        <v>1151146.71</v>
      </c>
      <c r="E64" s="135">
        <f t="shared" si="4"/>
        <v>2910392.17</v>
      </c>
      <c r="F64" s="136">
        <f t="shared" si="5"/>
        <v>2.080946942281399</v>
      </c>
    </row>
    <row r="65" spans="1:6" ht="12" customHeight="1">
      <c r="A65" s="1" t="s">
        <v>518</v>
      </c>
      <c r="B65" s="176"/>
      <c r="C65" s="176"/>
      <c r="D65" s="176">
        <v>127936.4</v>
      </c>
      <c r="E65" s="135">
        <f>SUM(B65:D65)</f>
        <v>127936.4</v>
      </c>
      <c r="F65" s="136">
        <f t="shared" si="5"/>
        <v>0.09147525310531945</v>
      </c>
    </row>
    <row r="66" spans="1:6" ht="12" customHeight="1">
      <c r="A66" s="1" t="s">
        <v>425</v>
      </c>
      <c r="B66" s="176">
        <f>52518.2</f>
        <v>52518.2</v>
      </c>
      <c r="C66" s="176"/>
      <c r="D66" s="176">
        <v>118448</v>
      </c>
      <c r="E66" s="135">
        <f t="shared" si="4"/>
        <v>170966.2</v>
      </c>
      <c r="F66" s="136">
        <f t="shared" si="5"/>
        <v>0.12224180465805409</v>
      </c>
    </row>
    <row r="67" spans="1:6" ht="12" customHeight="1">
      <c r="A67" s="1" t="s">
        <v>95</v>
      </c>
      <c r="B67" s="176">
        <f>24390</f>
        <v>24390</v>
      </c>
      <c r="C67" s="176"/>
      <c r="D67" s="176">
        <v>2800</v>
      </c>
      <c r="E67" s="135">
        <f t="shared" si="4"/>
        <v>27190</v>
      </c>
      <c r="F67" s="136">
        <f t="shared" si="5"/>
        <v>0.019441004529857305</v>
      </c>
    </row>
    <row r="68" spans="1:6" ht="12" customHeight="1">
      <c r="A68" s="1" t="s">
        <v>393</v>
      </c>
      <c r="B68" s="176"/>
      <c r="C68" s="176"/>
      <c r="D68" s="176">
        <v>381043.82</v>
      </c>
      <c r="E68" s="135">
        <f t="shared" si="4"/>
        <v>381043.82</v>
      </c>
      <c r="F68" s="136">
        <f t="shared" si="5"/>
        <v>0.2724484968993796</v>
      </c>
    </row>
    <row r="69" spans="1:6" ht="12" customHeight="1">
      <c r="A69" s="1" t="s">
        <v>233</v>
      </c>
      <c r="B69" s="176">
        <f>10000</f>
        <v>10000</v>
      </c>
      <c r="C69" s="176"/>
      <c r="D69" s="176">
        <v>50000</v>
      </c>
      <c r="E69" s="135">
        <f t="shared" si="4"/>
        <v>60000</v>
      </c>
      <c r="F69" s="136">
        <f t="shared" si="5"/>
        <v>0.042900341000052904</v>
      </c>
    </row>
    <row r="70" spans="1:6" ht="12" customHeight="1">
      <c r="A70" s="1" t="s">
        <v>384</v>
      </c>
      <c r="B70" s="161"/>
      <c r="C70" s="176"/>
      <c r="D70" s="161">
        <v>100000</v>
      </c>
      <c r="E70" s="135">
        <f t="shared" si="4"/>
        <v>100000</v>
      </c>
      <c r="F70" s="136">
        <f t="shared" si="5"/>
        <v>0.0715005683334215</v>
      </c>
    </row>
    <row r="71" spans="1:6" ht="12" customHeight="1">
      <c r="A71" s="1" t="s">
        <v>91</v>
      </c>
      <c r="B71" s="161"/>
      <c r="C71" s="176">
        <v>10000</v>
      </c>
      <c r="D71" s="161"/>
      <c r="E71" s="135">
        <f t="shared" si="4"/>
        <v>10000</v>
      </c>
      <c r="F71" s="136">
        <f t="shared" si="5"/>
        <v>0.007150056833342151</v>
      </c>
    </row>
    <row r="72" spans="1:6" ht="12" customHeight="1">
      <c r="A72" s="1" t="s">
        <v>234</v>
      </c>
      <c r="B72" s="161">
        <f>-105500</f>
        <v>-105500</v>
      </c>
      <c r="C72" s="176"/>
      <c r="D72" s="161"/>
      <c r="E72" s="135">
        <f>SUM(B72:D72)</f>
        <v>-105500</v>
      </c>
      <c r="F72" s="136">
        <f t="shared" si="5"/>
        <v>-0.07543309959175969</v>
      </c>
    </row>
    <row r="73" spans="1:6" ht="12" customHeight="1">
      <c r="A73" s="1" t="s">
        <v>426</v>
      </c>
      <c r="B73" s="161">
        <f>6279.26</f>
        <v>6279.26</v>
      </c>
      <c r="C73" s="176"/>
      <c r="D73" s="161"/>
      <c r="E73" s="135">
        <f>SUM(B73:D73)</f>
        <v>6279.26</v>
      </c>
      <c r="F73" s="136">
        <f t="shared" si="5"/>
        <v>0.004489706587133203</v>
      </c>
    </row>
    <row r="74" spans="1:6" ht="12" customHeight="1">
      <c r="A74" s="1" t="s">
        <v>401</v>
      </c>
      <c r="B74" s="161"/>
      <c r="C74" s="176">
        <v>12000</v>
      </c>
      <c r="D74" s="161"/>
      <c r="E74" s="135">
        <f>SUM(B74:D74)</f>
        <v>12000</v>
      </c>
      <c r="F74" s="136">
        <f t="shared" si="5"/>
        <v>0.00858006820001058</v>
      </c>
    </row>
    <row r="75" spans="1:6" ht="12" customHeight="1">
      <c r="A75" s="1" t="s">
        <v>92</v>
      </c>
      <c r="B75" s="176">
        <f>100000+291391.42</f>
        <v>391391.42</v>
      </c>
      <c r="C75" s="176">
        <f>100000+131090.43</f>
        <v>231090.43</v>
      </c>
      <c r="D75" s="176">
        <f>100000</f>
        <v>100000</v>
      </c>
      <c r="E75" s="135">
        <f t="shared" si="4"/>
        <v>722481.85</v>
      </c>
      <c r="F75" s="136">
        <f t="shared" si="5"/>
        <v>0.5165786288558178</v>
      </c>
    </row>
    <row r="76" spans="1:6" ht="12" customHeight="1">
      <c r="A76" s="1" t="s">
        <v>409</v>
      </c>
      <c r="B76" s="176">
        <f>14000</f>
        <v>14000</v>
      </c>
      <c r="C76" s="176"/>
      <c r="D76" s="176"/>
      <c r="E76" s="135">
        <f>SUM(B76:D76)</f>
        <v>14000</v>
      </c>
      <c r="F76" s="136">
        <f t="shared" si="5"/>
        <v>0.01001007956667901</v>
      </c>
    </row>
    <row r="77" spans="1:6" ht="12" customHeight="1">
      <c r="A77" s="1" t="s">
        <v>600</v>
      </c>
      <c r="B77" s="176">
        <f>10079</f>
        <v>10079</v>
      </c>
      <c r="C77" s="176"/>
      <c r="D77" s="176"/>
      <c r="E77" s="135">
        <f t="shared" si="4"/>
        <v>10079</v>
      </c>
      <c r="F77" s="136">
        <f t="shared" si="5"/>
        <v>0.007206542282325553</v>
      </c>
    </row>
    <row r="78" spans="1:6" ht="12" customHeight="1">
      <c r="A78" s="1" t="s">
        <v>385</v>
      </c>
      <c r="B78" s="161">
        <f>15000</f>
        <v>15000</v>
      </c>
      <c r="C78" s="176">
        <v>15000</v>
      </c>
      <c r="D78" s="176"/>
      <c r="E78" s="135">
        <f aca="true" t="shared" si="6" ref="E78:E84">SUM(B78:D78)</f>
        <v>30000</v>
      </c>
      <c r="F78" s="136">
        <f t="shared" si="5"/>
        <v>0.021450170500026452</v>
      </c>
    </row>
    <row r="79" spans="1:6" ht="12" customHeight="1">
      <c r="A79" s="1" t="s">
        <v>402</v>
      </c>
      <c r="B79" s="161">
        <f>33000</f>
        <v>33000</v>
      </c>
      <c r="C79" s="176"/>
      <c r="D79" s="176">
        <v>15000</v>
      </c>
      <c r="E79" s="135">
        <f t="shared" si="6"/>
        <v>48000</v>
      </c>
      <c r="F79" s="136">
        <f t="shared" si="5"/>
        <v>0.03432027280004232</v>
      </c>
    </row>
    <row r="80" spans="1:6" ht="12" customHeight="1">
      <c r="A80" s="1" t="s">
        <v>519</v>
      </c>
      <c r="B80" s="176"/>
      <c r="C80" s="176"/>
      <c r="D80" s="176">
        <v>1550</v>
      </c>
      <c r="E80" s="135">
        <f t="shared" si="6"/>
        <v>1550</v>
      </c>
      <c r="F80" s="136">
        <f t="shared" si="5"/>
        <v>0.0011082588091680331</v>
      </c>
    </row>
    <row r="81" spans="1:6" ht="12" customHeight="1">
      <c r="A81" s="1" t="s">
        <v>208</v>
      </c>
      <c r="B81" s="176"/>
      <c r="C81" s="176"/>
      <c r="D81" s="176">
        <v>8000</v>
      </c>
      <c r="E81" s="135">
        <f t="shared" si="6"/>
        <v>8000</v>
      </c>
      <c r="F81" s="136">
        <f t="shared" si="5"/>
        <v>0.0057200454666737205</v>
      </c>
    </row>
    <row r="82" spans="1:6" ht="12" customHeight="1">
      <c r="A82" s="1" t="s">
        <v>194</v>
      </c>
      <c r="B82" s="176">
        <v>10000</v>
      </c>
      <c r="C82" s="176">
        <v>20000</v>
      </c>
      <c r="D82" s="176"/>
      <c r="E82" s="135">
        <f t="shared" si="6"/>
        <v>30000</v>
      </c>
      <c r="F82" s="136">
        <f t="shared" si="5"/>
        <v>0.021450170500026452</v>
      </c>
    </row>
    <row r="83" spans="1:6" ht="12" customHeight="1">
      <c r="A83" s="1" t="s">
        <v>324</v>
      </c>
      <c r="B83" s="176"/>
      <c r="C83" s="176"/>
      <c r="D83" s="176">
        <v>7000</v>
      </c>
      <c r="E83" s="135">
        <f t="shared" si="6"/>
        <v>7000</v>
      </c>
      <c r="F83" s="136">
        <f t="shared" si="5"/>
        <v>0.005005039783339505</v>
      </c>
    </row>
    <row r="84" spans="1:6" ht="12" customHeight="1">
      <c r="A84" s="1" t="s">
        <v>297</v>
      </c>
      <c r="B84" s="176"/>
      <c r="C84" s="176"/>
      <c r="D84" s="176">
        <f>10000</f>
        <v>10000</v>
      </c>
      <c r="E84" s="135">
        <f t="shared" si="6"/>
        <v>10000</v>
      </c>
      <c r="F84" s="136">
        <f t="shared" si="5"/>
        <v>0.007150056833342151</v>
      </c>
    </row>
    <row r="85" spans="1:6" ht="8.25" customHeight="1">
      <c r="A85" s="4"/>
      <c r="B85" s="229"/>
      <c r="C85" s="229"/>
      <c r="D85" s="229"/>
      <c r="E85" s="229"/>
      <c r="F85" s="229"/>
    </row>
    <row r="86" spans="1:6" ht="12" customHeight="1" thickBot="1">
      <c r="A86" s="4" t="s">
        <v>111</v>
      </c>
      <c r="B86" s="151">
        <f>SUM(B9:B85)</f>
        <v>66611429.839999996</v>
      </c>
      <c r="C86" s="151">
        <f>SUM(C9:C85)</f>
        <v>60024525.09</v>
      </c>
      <c r="D86" s="151">
        <f>SUM(D9:D85)</f>
        <v>13223073.230000002</v>
      </c>
      <c r="E86" s="151">
        <f>SUM(E9:E85)</f>
        <v>139859028.15999997</v>
      </c>
      <c r="F86" s="151">
        <f>SUM(F9:F85)</f>
        <v>100.00000000000003</v>
      </c>
    </row>
    <row r="87" spans="1:6" ht="12" customHeight="1" thickTop="1">
      <c r="A87" s="4"/>
      <c r="B87" s="229"/>
      <c r="C87" s="229"/>
      <c r="D87" s="229"/>
      <c r="E87" s="229"/>
      <c r="F87" s="229"/>
    </row>
    <row r="88" spans="2:6" ht="12.75">
      <c r="B88" s="175"/>
      <c r="C88" s="175"/>
      <c r="D88" s="177"/>
      <c r="E88" s="103"/>
      <c r="F88" s="103"/>
    </row>
    <row r="89" spans="1:6" ht="12.75">
      <c r="A89" s="72"/>
      <c r="B89" s="140"/>
      <c r="C89" s="140"/>
      <c r="D89" s="177"/>
      <c r="E89" s="103"/>
      <c r="F89" s="103"/>
    </row>
    <row r="90" spans="2:4" ht="12.75">
      <c r="B90" s="33"/>
      <c r="C90" s="33"/>
      <c r="D90" s="33"/>
    </row>
    <row r="91" spans="2:4" ht="12.75">
      <c r="B91" s="33"/>
      <c r="C91" s="33"/>
      <c r="D91" s="33"/>
    </row>
    <row r="92" spans="2:3" ht="12.75">
      <c r="B92" s="33"/>
      <c r="C92" s="33"/>
    </row>
    <row r="93" spans="2:3" ht="12.75">
      <c r="B93" s="33"/>
      <c r="C93" s="33"/>
    </row>
    <row r="94" spans="2:4" ht="12.75">
      <c r="B94" s="71"/>
      <c r="C94" s="71"/>
      <c r="D94" s="71"/>
    </row>
    <row r="95" spans="1:4" ht="12.75">
      <c r="A95" s="40"/>
      <c r="B95" s="33"/>
      <c r="C95" s="33"/>
      <c r="D95" s="33"/>
    </row>
  </sheetData>
  <mergeCells count="5">
    <mergeCell ref="A5:F5"/>
    <mergeCell ref="E1:F1"/>
    <mergeCell ref="A2:F2"/>
    <mergeCell ref="A3:F3"/>
    <mergeCell ref="A4:F4"/>
  </mergeCells>
  <printOptions/>
  <pageMargins left="0.7874015748031497" right="0.5905511811023623" top="0.7874015748031497" bottom="0.7874015748031497" header="0" footer="0.3937007874015748"/>
  <pageSetup horizontalDpi="600" verticalDpi="600" orientation="portrait" scale="90" r:id="rId1"/>
  <headerFooter alignWithMargins="0">
    <oddFooter>&amp;R&amp;P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H46" sqref="H46"/>
    </sheetView>
  </sheetViews>
  <sheetFormatPr defaultColWidth="11.421875" defaultRowHeight="12.75"/>
  <cols>
    <col min="1" max="1" width="45.00390625" style="1" customWidth="1"/>
    <col min="2" max="5" width="10.8515625" style="23" customWidth="1"/>
    <col min="6" max="6" width="6.57421875" style="1" customWidth="1"/>
    <col min="7" max="16384" width="11.421875" style="1" customWidth="1"/>
  </cols>
  <sheetData>
    <row r="1" spans="1:6" ht="12.75" customHeight="1">
      <c r="A1" s="248"/>
      <c r="B1" s="249"/>
      <c r="C1" s="249"/>
      <c r="D1" s="249"/>
      <c r="E1" s="287" t="s">
        <v>132</v>
      </c>
      <c r="F1" s="287"/>
    </row>
    <row r="2" spans="1:6" ht="12.75" customHeight="1">
      <c r="A2" s="286" t="s">
        <v>309</v>
      </c>
      <c r="B2" s="286"/>
      <c r="C2" s="286"/>
      <c r="D2" s="286"/>
      <c r="E2" s="286"/>
      <c r="F2" s="286"/>
    </row>
    <row r="3" spans="1:6" ht="12.75" customHeight="1">
      <c r="A3" s="286" t="s">
        <v>524</v>
      </c>
      <c r="B3" s="286"/>
      <c r="C3" s="286"/>
      <c r="D3" s="286"/>
      <c r="E3" s="286"/>
      <c r="F3" s="286"/>
    </row>
    <row r="4" spans="1:6" ht="12.75" customHeight="1">
      <c r="A4" s="286" t="s">
        <v>320</v>
      </c>
      <c r="B4" s="286"/>
      <c r="C4" s="286"/>
      <c r="D4" s="286"/>
      <c r="E4" s="286"/>
      <c r="F4" s="286"/>
    </row>
    <row r="5" spans="1:7" ht="12.75" customHeight="1">
      <c r="A5" s="286" t="s">
        <v>452</v>
      </c>
      <c r="B5" s="286"/>
      <c r="C5" s="286"/>
      <c r="D5" s="286"/>
      <c r="E5" s="286"/>
      <c r="F5" s="286"/>
      <c r="G5" s="217"/>
    </row>
    <row r="6" spans="1:7" ht="18.75" customHeight="1">
      <c r="A6" s="93"/>
      <c r="B6" s="93"/>
      <c r="C6" s="93"/>
      <c r="D6" s="93"/>
      <c r="E6" s="93"/>
      <c r="F6" s="93"/>
      <c r="G6" s="37"/>
    </row>
    <row r="7" spans="1:6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spans="1:6" ht="9" customHeight="1">
      <c r="A8" s="2"/>
      <c r="B8" s="24"/>
      <c r="C8" s="24"/>
      <c r="D8" s="24"/>
      <c r="E8" s="24"/>
      <c r="F8" s="2"/>
    </row>
    <row r="9" spans="1:7" ht="12" customHeight="1">
      <c r="A9" s="1" t="s">
        <v>183</v>
      </c>
      <c r="B9" s="140"/>
      <c r="C9" s="140">
        <v>3300</v>
      </c>
      <c r="D9" s="140">
        <v>15106.09</v>
      </c>
      <c r="E9" s="140">
        <f>SUM(B9:D9)</f>
        <v>18406.09</v>
      </c>
      <c r="F9" s="144">
        <f aca="true" t="shared" si="0" ref="F9:F48">(E9/$E$50*100)</f>
        <v>3.209806047293155</v>
      </c>
      <c r="G9" s="103"/>
    </row>
    <row r="10" spans="1:7" ht="12" customHeight="1">
      <c r="A10" s="1" t="s">
        <v>395</v>
      </c>
      <c r="B10" s="140">
        <v>2600</v>
      </c>
      <c r="C10" s="140">
        <v>5100</v>
      </c>
      <c r="D10" s="140">
        <v>4100</v>
      </c>
      <c r="E10" s="140">
        <f aca="true" t="shared" si="1" ref="E10:E46">SUM(B10:D10)</f>
        <v>11800</v>
      </c>
      <c r="F10" s="144">
        <f t="shared" si="0"/>
        <v>2.0577814928678078</v>
      </c>
      <c r="G10" s="103"/>
    </row>
    <row r="11" spans="1:7" ht="12" customHeight="1">
      <c r="A11" s="6" t="s">
        <v>81</v>
      </c>
      <c r="B11" s="178">
        <v>2200</v>
      </c>
      <c r="C11" s="178">
        <v>1150</v>
      </c>
      <c r="D11" s="178"/>
      <c r="E11" s="140">
        <f t="shared" si="1"/>
        <v>3350</v>
      </c>
      <c r="F11" s="144">
        <f t="shared" si="0"/>
        <v>0.5842006780599285</v>
      </c>
      <c r="G11" s="103"/>
    </row>
    <row r="12" spans="1:7" ht="12" customHeight="1">
      <c r="A12" s="6" t="s">
        <v>82</v>
      </c>
      <c r="B12" s="178">
        <v>700</v>
      </c>
      <c r="C12" s="178">
        <v>3900</v>
      </c>
      <c r="D12" s="178">
        <v>8000</v>
      </c>
      <c r="E12" s="140">
        <f t="shared" si="1"/>
        <v>12600</v>
      </c>
      <c r="F12" s="144">
        <f t="shared" si="0"/>
        <v>2.197292102553761</v>
      </c>
      <c r="G12" s="103"/>
    </row>
    <row r="13" spans="1:7" ht="12" customHeight="1">
      <c r="A13" s="6" t="s">
        <v>484</v>
      </c>
      <c r="B13" s="178"/>
      <c r="C13" s="178"/>
      <c r="D13" s="178">
        <v>700</v>
      </c>
      <c r="E13" s="140">
        <f>SUM(B13:D13)</f>
        <v>700</v>
      </c>
      <c r="F13" s="144">
        <f t="shared" si="0"/>
        <v>0.12207178347520893</v>
      </c>
      <c r="G13" s="103"/>
    </row>
    <row r="14" spans="1:7" ht="12" customHeight="1">
      <c r="A14" s="6" t="s">
        <v>189</v>
      </c>
      <c r="B14" s="178">
        <v>12750</v>
      </c>
      <c r="C14" s="178"/>
      <c r="D14" s="178"/>
      <c r="E14" s="140">
        <f>SUM(B14:D14)</f>
        <v>12750</v>
      </c>
      <c r="F14" s="144">
        <f t="shared" si="0"/>
        <v>2.2234503418698774</v>
      </c>
      <c r="G14" s="103"/>
    </row>
    <row r="15" spans="1:7" ht="12" customHeight="1">
      <c r="A15" s="6" t="s">
        <v>156</v>
      </c>
      <c r="B15" s="178">
        <v>2400</v>
      </c>
      <c r="C15" s="178">
        <v>22600</v>
      </c>
      <c r="D15" s="178">
        <v>63600</v>
      </c>
      <c r="E15" s="140">
        <f>SUM(B15:D15)</f>
        <v>88600</v>
      </c>
      <c r="F15" s="144">
        <f t="shared" si="0"/>
        <v>15.450800022719305</v>
      </c>
      <c r="G15" s="103"/>
    </row>
    <row r="16" spans="1:7" ht="12" customHeight="1">
      <c r="A16" s="6" t="s">
        <v>83</v>
      </c>
      <c r="B16" s="178">
        <v>16220</v>
      </c>
      <c r="C16" s="178">
        <v>85172</v>
      </c>
      <c r="D16" s="178">
        <v>5625</v>
      </c>
      <c r="E16" s="140">
        <f t="shared" si="1"/>
        <v>107017</v>
      </c>
      <c r="F16" s="144">
        <f t="shared" si="0"/>
        <v>18.66250864595205</v>
      </c>
      <c r="G16" s="103"/>
    </row>
    <row r="17" spans="1:7" ht="12" customHeight="1">
      <c r="A17" s="1" t="s">
        <v>287</v>
      </c>
      <c r="B17" s="161">
        <v>23300</v>
      </c>
      <c r="C17" s="178"/>
      <c r="D17" s="161"/>
      <c r="E17" s="140">
        <f t="shared" si="1"/>
        <v>23300</v>
      </c>
      <c r="F17" s="144">
        <f t="shared" si="0"/>
        <v>4.063246507103384</v>
      </c>
      <c r="G17" s="178"/>
    </row>
    <row r="18" spans="1:7" ht="12" customHeight="1">
      <c r="A18" s="6" t="s">
        <v>360</v>
      </c>
      <c r="B18" s="161">
        <v>1400</v>
      </c>
      <c r="C18" s="178"/>
      <c r="D18" s="161"/>
      <c r="E18" s="140">
        <f>SUM(B18:D18)</f>
        <v>1400</v>
      </c>
      <c r="F18" s="144">
        <f t="shared" si="0"/>
        <v>0.24414356695041786</v>
      </c>
      <c r="G18" s="178"/>
    </row>
    <row r="19" spans="1:7" ht="12" customHeight="1">
      <c r="A19" s="1" t="s">
        <v>168</v>
      </c>
      <c r="B19" s="161">
        <v>5400</v>
      </c>
      <c r="C19" s="178"/>
      <c r="D19" s="161"/>
      <c r="E19" s="140">
        <f t="shared" si="1"/>
        <v>5400</v>
      </c>
      <c r="F19" s="144">
        <f t="shared" si="0"/>
        <v>0.9416966153801833</v>
      </c>
      <c r="G19" s="178"/>
    </row>
    <row r="20" spans="1:7" ht="12" customHeight="1">
      <c r="A20" s="1" t="s">
        <v>190</v>
      </c>
      <c r="B20" s="161">
        <v>17873</v>
      </c>
      <c r="C20" s="178"/>
      <c r="D20" s="161">
        <v>4200</v>
      </c>
      <c r="E20" s="140">
        <f t="shared" si="1"/>
        <v>22073</v>
      </c>
      <c r="F20" s="144">
        <f t="shared" si="0"/>
        <v>3.849272109497553</v>
      </c>
      <c r="G20" s="178"/>
    </row>
    <row r="21" spans="1:7" ht="12" customHeight="1">
      <c r="A21" s="1" t="s">
        <v>397</v>
      </c>
      <c r="B21" s="161">
        <v>6600</v>
      </c>
      <c r="C21" s="178"/>
      <c r="D21" s="161">
        <v>12783</v>
      </c>
      <c r="E21" s="140">
        <f>SUM(B21:D21)</f>
        <v>19383</v>
      </c>
      <c r="F21" s="144">
        <f t="shared" si="0"/>
        <v>3.3801676844285358</v>
      </c>
      <c r="G21" s="178"/>
    </row>
    <row r="22" spans="1:7" ht="12" customHeight="1">
      <c r="A22" s="1" t="s">
        <v>231</v>
      </c>
      <c r="B22" s="178">
        <v>9200</v>
      </c>
      <c r="C22" s="178">
        <v>6700</v>
      </c>
      <c r="D22" s="178">
        <v>3200</v>
      </c>
      <c r="E22" s="140">
        <f t="shared" si="1"/>
        <v>19100</v>
      </c>
      <c r="F22" s="144">
        <f t="shared" si="0"/>
        <v>3.33081580625213</v>
      </c>
      <c r="G22" s="103"/>
    </row>
    <row r="23" spans="1:7" ht="12" customHeight="1">
      <c r="A23" s="1" t="s">
        <v>428</v>
      </c>
      <c r="B23" s="178">
        <v>2800</v>
      </c>
      <c r="C23" s="178"/>
      <c r="D23" s="178"/>
      <c r="E23" s="140">
        <f t="shared" si="1"/>
        <v>2800</v>
      </c>
      <c r="F23" s="144">
        <f t="shared" si="0"/>
        <v>0.4882871339008357</v>
      </c>
      <c r="G23" s="103"/>
    </row>
    <row r="24" spans="1:7" ht="12" customHeight="1">
      <c r="A24" s="1" t="s">
        <v>486</v>
      </c>
      <c r="B24" s="178"/>
      <c r="C24" s="178">
        <v>17162</v>
      </c>
      <c r="D24" s="178"/>
      <c r="E24" s="140">
        <f>SUM(B24:D24)</f>
        <v>17162</v>
      </c>
      <c r="F24" s="144">
        <f t="shared" si="0"/>
        <v>2.9928513542879087</v>
      </c>
      <c r="G24" s="103"/>
    </row>
    <row r="25" spans="1:7" ht="12" customHeight="1">
      <c r="A25" s="1" t="s">
        <v>558</v>
      </c>
      <c r="B25" s="178">
        <v>3600</v>
      </c>
      <c r="C25" s="178"/>
      <c r="D25" s="178">
        <v>1600</v>
      </c>
      <c r="E25" s="140">
        <f t="shared" si="1"/>
        <v>5200</v>
      </c>
      <c r="F25" s="144">
        <f t="shared" si="0"/>
        <v>0.9068189629586951</v>
      </c>
      <c r="G25" s="103"/>
    </row>
    <row r="26" spans="1:7" ht="12" customHeight="1">
      <c r="A26" s="1" t="s">
        <v>146</v>
      </c>
      <c r="B26" s="178">
        <v>7500</v>
      </c>
      <c r="C26" s="178">
        <v>3000</v>
      </c>
      <c r="D26" s="178">
        <v>6000</v>
      </c>
      <c r="E26" s="140">
        <f t="shared" si="1"/>
        <v>16500</v>
      </c>
      <c r="F26" s="144">
        <f t="shared" si="0"/>
        <v>2.877406324772782</v>
      </c>
      <c r="G26" s="103"/>
    </row>
    <row r="27" spans="1:7" ht="12" customHeight="1">
      <c r="A27" s="1" t="s">
        <v>157</v>
      </c>
      <c r="B27" s="178"/>
      <c r="C27" s="178">
        <v>1100</v>
      </c>
      <c r="D27" s="178">
        <v>1200</v>
      </c>
      <c r="E27" s="140">
        <f t="shared" si="1"/>
        <v>2300</v>
      </c>
      <c r="F27" s="144">
        <f t="shared" si="0"/>
        <v>0.4010930028471151</v>
      </c>
      <c r="G27" s="103"/>
    </row>
    <row r="28" spans="1:7" ht="12" customHeight="1">
      <c r="A28" s="1" t="s">
        <v>158</v>
      </c>
      <c r="B28" s="178"/>
      <c r="C28" s="178"/>
      <c r="D28" s="178">
        <v>2000</v>
      </c>
      <c r="E28" s="140">
        <f t="shared" si="1"/>
        <v>2000</v>
      </c>
      <c r="F28" s="144">
        <f t="shared" si="0"/>
        <v>0.3487765242148827</v>
      </c>
      <c r="G28" s="103"/>
    </row>
    <row r="29" spans="1:7" ht="12" customHeight="1">
      <c r="A29" s="1" t="s">
        <v>230</v>
      </c>
      <c r="B29" s="178"/>
      <c r="C29" s="178">
        <v>5000</v>
      </c>
      <c r="D29" s="178"/>
      <c r="E29" s="140">
        <f>SUM(B29:D29)</f>
        <v>5000</v>
      </c>
      <c r="F29" s="144">
        <f t="shared" si="0"/>
        <v>0.8719413105372067</v>
      </c>
      <c r="G29" s="103"/>
    </row>
    <row r="30" spans="1:7" ht="12" customHeight="1">
      <c r="A30" s="1" t="s">
        <v>85</v>
      </c>
      <c r="B30" s="178">
        <v>2000</v>
      </c>
      <c r="C30" s="178">
        <v>1100</v>
      </c>
      <c r="D30" s="178">
        <v>2300</v>
      </c>
      <c r="E30" s="140">
        <f>SUM(B30:D30)</f>
        <v>5400</v>
      </c>
      <c r="F30" s="144">
        <f t="shared" si="0"/>
        <v>0.9416966153801833</v>
      </c>
      <c r="G30" s="103"/>
    </row>
    <row r="31" spans="1:7" ht="12" customHeight="1">
      <c r="A31" s="1" t="s">
        <v>159</v>
      </c>
      <c r="B31" s="178"/>
      <c r="C31" s="178">
        <v>2300</v>
      </c>
      <c r="D31" s="178">
        <v>1600</v>
      </c>
      <c r="E31" s="140">
        <f t="shared" si="1"/>
        <v>3900</v>
      </c>
      <c r="F31" s="144">
        <f t="shared" si="0"/>
        <v>0.6801142222190213</v>
      </c>
      <c r="G31" s="103"/>
    </row>
    <row r="32" spans="1:7" ht="12" customHeight="1">
      <c r="A32" s="1" t="s">
        <v>127</v>
      </c>
      <c r="B32" s="178"/>
      <c r="C32" s="178"/>
      <c r="D32" s="178">
        <v>25000</v>
      </c>
      <c r="E32" s="140">
        <f t="shared" si="1"/>
        <v>25000</v>
      </c>
      <c r="F32" s="144">
        <f t="shared" si="0"/>
        <v>4.359706552686034</v>
      </c>
      <c r="G32" s="103"/>
    </row>
    <row r="33" spans="1:7" ht="12" customHeight="1">
      <c r="A33" s="1" t="s">
        <v>160</v>
      </c>
      <c r="B33" s="178"/>
      <c r="C33" s="178">
        <v>2000</v>
      </c>
      <c r="D33" s="178"/>
      <c r="E33" s="140">
        <f>SUM(B33:D33)</f>
        <v>2000</v>
      </c>
      <c r="F33" s="144">
        <f t="shared" si="0"/>
        <v>0.3487765242148827</v>
      </c>
      <c r="G33" s="103"/>
    </row>
    <row r="34" spans="1:7" ht="12" customHeight="1">
      <c r="A34" s="1" t="s">
        <v>145</v>
      </c>
      <c r="B34" s="178">
        <v>1000</v>
      </c>
      <c r="C34" s="178">
        <v>3200</v>
      </c>
      <c r="D34" s="178">
        <v>650</v>
      </c>
      <c r="E34" s="140">
        <f t="shared" si="1"/>
        <v>4850</v>
      </c>
      <c r="F34" s="144">
        <f t="shared" si="0"/>
        <v>0.8457830712210906</v>
      </c>
      <c r="G34" s="103"/>
    </row>
    <row r="35" spans="1:7" ht="12" customHeight="1">
      <c r="A35" s="1" t="s">
        <v>429</v>
      </c>
      <c r="B35" s="178">
        <v>1200</v>
      </c>
      <c r="C35" s="178">
        <v>2200</v>
      </c>
      <c r="D35" s="178"/>
      <c r="E35" s="140">
        <f t="shared" si="1"/>
        <v>3400</v>
      </c>
      <c r="F35" s="144">
        <f t="shared" si="0"/>
        <v>0.5929200911653005</v>
      </c>
      <c r="G35" s="103"/>
    </row>
    <row r="36" spans="1:7" ht="12" customHeight="1">
      <c r="A36" s="1" t="s">
        <v>139</v>
      </c>
      <c r="B36" s="178">
        <v>7000</v>
      </c>
      <c r="C36" s="178">
        <v>1200</v>
      </c>
      <c r="D36" s="178"/>
      <c r="E36" s="140">
        <f t="shared" si="1"/>
        <v>8200</v>
      </c>
      <c r="F36" s="144">
        <f t="shared" si="0"/>
        <v>1.429983749281019</v>
      </c>
      <c r="G36" s="178"/>
    </row>
    <row r="37" spans="1:7" ht="12" customHeight="1">
      <c r="A37" s="1" t="s">
        <v>162</v>
      </c>
      <c r="B37" s="178">
        <v>7000</v>
      </c>
      <c r="C37" s="178"/>
      <c r="D37" s="178">
        <v>-600</v>
      </c>
      <c r="E37" s="140">
        <f t="shared" si="1"/>
        <v>6400</v>
      </c>
      <c r="F37" s="144">
        <f t="shared" si="0"/>
        <v>1.1160848774876246</v>
      </c>
      <c r="G37" s="178"/>
    </row>
    <row r="38" spans="1:7" ht="12" customHeight="1">
      <c r="A38" s="1" t="s">
        <v>468</v>
      </c>
      <c r="B38" s="178">
        <v>3200</v>
      </c>
      <c r="C38" s="178"/>
      <c r="D38" s="178"/>
      <c r="E38" s="140">
        <f>SUM(B38:D38)</f>
        <v>3200</v>
      </c>
      <c r="F38" s="144">
        <f t="shared" si="0"/>
        <v>0.5580424387438123</v>
      </c>
      <c r="G38" s="178"/>
    </row>
    <row r="39" spans="1:7" ht="12" customHeight="1">
      <c r="A39" s="1" t="s">
        <v>95</v>
      </c>
      <c r="B39" s="178">
        <v>56142</v>
      </c>
      <c r="C39" s="178">
        <v>3000</v>
      </c>
      <c r="D39" s="178"/>
      <c r="E39" s="140">
        <f t="shared" si="1"/>
        <v>59142</v>
      </c>
      <c r="F39" s="144">
        <f t="shared" si="0"/>
        <v>10.313670597558296</v>
      </c>
      <c r="G39" s="178"/>
    </row>
    <row r="40" spans="1:7" ht="12" customHeight="1">
      <c r="A40" s="1" t="s">
        <v>232</v>
      </c>
      <c r="B40" s="178">
        <v>5000</v>
      </c>
      <c r="C40" s="178"/>
      <c r="D40" s="178"/>
      <c r="E40" s="140">
        <f t="shared" si="1"/>
        <v>5000</v>
      </c>
      <c r="F40" s="144">
        <f t="shared" si="0"/>
        <v>0.8719413105372067</v>
      </c>
      <c r="G40" s="178"/>
    </row>
    <row r="41" spans="1:7" ht="12" customHeight="1">
      <c r="A41" s="1" t="s">
        <v>233</v>
      </c>
      <c r="B41" s="178"/>
      <c r="C41" s="178">
        <v>4800</v>
      </c>
      <c r="D41" s="178"/>
      <c r="E41" s="140">
        <f t="shared" si="1"/>
        <v>4800</v>
      </c>
      <c r="F41" s="144">
        <f t="shared" si="0"/>
        <v>0.8370636581157186</v>
      </c>
      <c r="G41" s="178"/>
    </row>
    <row r="42" spans="1:7" ht="12" customHeight="1">
      <c r="A42" s="1" t="s">
        <v>601</v>
      </c>
      <c r="B42" s="178"/>
      <c r="C42" s="178">
        <v>5000</v>
      </c>
      <c r="D42" s="178"/>
      <c r="E42" s="140">
        <f>SUM(B42:D42)</f>
        <v>5000</v>
      </c>
      <c r="F42" s="144">
        <f t="shared" si="0"/>
        <v>0.8719413105372067</v>
      </c>
      <c r="G42" s="103"/>
    </row>
    <row r="43" spans="1:7" ht="12" customHeight="1">
      <c r="A43" s="1" t="s">
        <v>602</v>
      </c>
      <c r="B43" s="178"/>
      <c r="C43" s="178">
        <v>9600</v>
      </c>
      <c r="D43" s="178"/>
      <c r="E43" s="140">
        <f>SUM(B43:D43)</f>
        <v>9600</v>
      </c>
      <c r="F43" s="144">
        <f t="shared" si="0"/>
        <v>1.6741273162314372</v>
      </c>
      <c r="G43" s="103"/>
    </row>
    <row r="44" spans="1:7" ht="12" customHeight="1">
      <c r="A44" s="1" t="s">
        <v>97</v>
      </c>
      <c r="B44" s="178"/>
      <c r="C44" s="178">
        <v>5000</v>
      </c>
      <c r="D44" s="178"/>
      <c r="E44" s="140">
        <f>SUM(B44:D44)</f>
        <v>5000</v>
      </c>
      <c r="F44" s="144">
        <f t="shared" si="0"/>
        <v>0.8719413105372067</v>
      </c>
      <c r="G44" s="103"/>
    </row>
    <row r="45" spans="1:7" ht="12" customHeight="1">
      <c r="A45" s="1" t="s">
        <v>142</v>
      </c>
      <c r="B45" s="178"/>
      <c r="C45" s="178">
        <v>5000</v>
      </c>
      <c r="D45" s="178"/>
      <c r="E45" s="140">
        <f t="shared" si="1"/>
        <v>5000</v>
      </c>
      <c r="F45" s="144">
        <f t="shared" si="0"/>
        <v>0.8719413105372067</v>
      </c>
      <c r="G45" s="103"/>
    </row>
    <row r="46" spans="1:7" ht="12" customHeight="1">
      <c r="A46" s="1" t="s">
        <v>104</v>
      </c>
      <c r="B46" s="178"/>
      <c r="C46" s="178"/>
      <c r="D46" s="178">
        <v>10000</v>
      </c>
      <c r="E46" s="140">
        <f t="shared" si="1"/>
        <v>10000</v>
      </c>
      <c r="F46" s="144">
        <f t="shared" si="0"/>
        <v>1.7438826210744134</v>
      </c>
      <c r="G46" s="178"/>
    </row>
    <row r="47" spans="1:7" ht="12" customHeight="1">
      <c r="A47" s="1" t="s">
        <v>295</v>
      </c>
      <c r="B47" s="178"/>
      <c r="C47" s="178"/>
      <c r="D47" s="178">
        <v>7500</v>
      </c>
      <c r="E47" s="140">
        <f>SUM(B47:D47)</f>
        <v>7500</v>
      </c>
      <c r="F47" s="144">
        <f t="shared" si="0"/>
        <v>1.30791196580581</v>
      </c>
      <c r="G47" s="178"/>
    </row>
    <row r="48" spans="1:7" ht="12" customHeight="1">
      <c r="A48" s="1" t="s">
        <v>109</v>
      </c>
      <c r="B48" s="178">
        <v>3200</v>
      </c>
      <c r="C48" s="178"/>
      <c r="D48" s="178"/>
      <c r="E48" s="140">
        <f>SUM(B48:D48)</f>
        <v>3200</v>
      </c>
      <c r="F48" s="144">
        <f t="shared" si="0"/>
        <v>0.5580424387438123</v>
      </c>
      <c r="G48" s="178"/>
    </row>
    <row r="49" spans="2:7" ht="9" customHeight="1">
      <c r="B49" s="178"/>
      <c r="C49" s="178"/>
      <c r="D49" s="178"/>
      <c r="E49" s="140"/>
      <c r="F49" s="144"/>
      <c r="G49" s="178"/>
    </row>
    <row r="50" spans="1:7" ht="12" customHeight="1" thickBot="1">
      <c r="A50" s="4" t="s">
        <v>111</v>
      </c>
      <c r="B50" s="179">
        <f>SUM(B9:B49)</f>
        <v>200285</v>
      </c>
      <c r="C50" s="179">
        <f>SUM(C9:C49)</f>
        <v>198584</v>
      </c>
      <c r="D50" s="179">
        <f>SUM(D9:D49)</f>
        <v>174564.09</v>
      </c>
      <c r="E50" s="179">
        <f>SUM(E9:E49)</f>
        <v>573433.09</v>
      </c>
      <c r="F50" s="179">
        <f>SUM(F9:F49)</f>
        <v>100.00000000000004</v>
      </c>
      <c r="G50" s="178"/>
    </row>
    <row r="51" spans="2:7" ht="12" customHeight="1" thickTop="1">
      <c r="B51" s="178"/>
      <c r="C51" s="178"/>
      <c r="D51" s="178"/>
      <c r="E51" s="140"/>
      <c r="F51" s="144"/>
      <c r="G51" s="178"/>
    </row>
    <row r="52" spans="2:7" ht="12" customHeight="1">
      <c r="B52" s="178"/>
      <c r="C52" s="178"/>
      <c r="D52" s="178"/>
      <c r="E52" s="140"/>
      <c r="F52" s="144"/>
      <c r="G52" s="178"/>
    </row>
    <row r="53" spans="2:7" ht="12" customHeight="1">
      <c r="B53" s="140"/>
      <c r="C53" s="140"/>
      <c r="D53" s="178"/>
      <c r="E53" s="103"/>
      <c r="F53" s="103"/>
      <c r="G53" s="178"/>
    </row>
    <row r="54" spans="2:7" ht="12" customHeight="1">
      <c r="B54" s="140"/>
      <c r="C54" s="140"/>
      <c r="D54" s="103"/>
      <c r="E54" s="103"/>
      <c r="F54" s="103"/>
      <c r="G54" s="178"/>
    </row>
    <row r="55" spans="2:7" ht="12" customHeight="1">
      <c r="B55" s="34"/>
      <c r="C55" s="34"/>
      <c r="D55" s="34"/>
      <c r="E55" s="39"/>
      <c r="F55" s="35"/>
      <c r="G55" s="13"/>
    </row>
    <row r="56" spans="2:5" ht="12.75">
      <c r="B56" s="1"/>
      <c r="C56" s="1"/>
      <c r="D56" s="1"/>
      <c r="E56" s="1"/>
    </row>
    <row r="58" spans="2:4" ht="12.75">
      <c r="B58" s="73"/>
      <c r="C58" s="73"/>
      <c r="D58" s="25"/>
    </row>
    <row r="60" spans="2:4" ht="12.75">
      <c r="B60" s="25"/>
      <c r="C60" s="25"/>
      <c r="D60" s="25"/>
    </row>
    <row r="64" ht="12.75">
      <c r="D64" s="74"/>
    </row>
    <row r="67" ht="12.75">
      <c r="D67" s="74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7874015748031497" bottom="0.7086614173228347" header="0" footer="0"/>
  <pageSetup horizontalDpi="600" verticalDpi="6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61">
      <selection activeCell="H84" sqref="H84"/>
    </sheetView>
  </sheetViews>
  <sheetFormatPr defaultColWidth="11.421875" defaultRowHeight="12.75"/>
  <cols>
    <col min="1" max="1" width="37.57421875" style="1" customWidth="1"/>
    <col min="2" max="3" width="11.28125" style="23" customWidth="1"/>
    <col min="4" max="4" width="10.8515625" style="23" bestFit="1" customWidth="1"/>
    <col min="5" max="5" width="12.00390625" style="23" bestFit="1" customWidth="1"/>
    <col min="6" max="6" width="6.57421875" style="1" bestFit="1" customWidth="1"/>
    <col min="7" max="16384" width="11.421875" style="1" customWidth="1"/>
  </cols>
  <sheetData>
    <row r="1" spans="1:6" ht="12.75" customHeight="1">
      <c r="A1" s="248"/>
      <c r="B1" s="249"/>
      <c r="C1" s="249"/>
      <c r="D1" s="249"/>
      <c r="E1" s="287" t="s">
        <v>133</v>
      </c>
      <c r="F1" s="287"/>
    </row>
    <row r="2" spans="1:6" ht="12.75" customHeight="1">
      <c r="A2" s="286" t="s">
        <v>309</v>
      </c>
      <c r="B2" s="286"/>
      <c r="C2" s="286"/>
      <c r="D2" s="286"/>
      <c r="E2" s="286"/>
      <c r="F2" s="286"/>
    </row>
    <row r="3" spans="1:6" ht="12.75" customHeight="1">
      <c r="A3" s="286" t="s">
        <v>524</v>
      </c>
      <c r="B3" s="286"/>
      <c r="C3" s="286"/>
      <c r="D3" s="286"/>
      <c r="E3" s="286"/>
      <c r="F3" s="286"/>
    </row>
    <row r="4" spans="1:6" ht="12.75" customHeight="1">
      <c r="A4" s="286" t="s">
        <v>321</v>
      </c>
      <c r="B4" s="286"/>
      <c r="C4" s="286"/>
      <c r="D4" s="286"/>
      <c r="E4" s="286"/>
      <c r="F4" s="286"/>
    </row>
    <row r="5" spans="1:7" ht="12.75" customHeight="1">
      <c r="A5" s="286" t="s">
        <v>452</v>
      </c>
      <c r="B5" s="286"/>
      <c r="C5" s="286"/>
      <c r="D5" s="286"/>
      <c r="E5" s="286"/>
      <c r="F5" s="286"/>
      <c r="G5" s="217"/>
    </row>
    <row r="6" spans="1:6" ht="18.75" customHeight="1">
      <c r="A6" s="17"/>
      <c r="B6" s="17"/>
      <c r="C6" s="17"/>
      <c r="D6" s="17"/>
      <c r="E6" s="17"/>
      <c r="F6" s="17"/>
    </row>
    <row r="7" spans="1:6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spans="1:6" ht="9" customHeight="1">
      <c r="A8" s="2"/>
      <c r="B8" s="24"/>
      <c r="C8" s="24"/>
      <c r="D8" s="33"/>
      <c r="E8" s="24"/>
      <c r="F8" s="2"/>
    </row>
    <row r="9" spans="1:6" ht="12.75">
      <c r="A9" s="1" t="s">
        <v>326</v>
      </c>
      <c r="B9" s="176"/>
      <c r="C9" s="135">
        <v>145744.5</v>
      </c>
      <c r="D9" s="176"/>
      <c r="E9" s="135">
        <f>SUM(B9:D9)</f>
        <v>145744.5</v>
      </c>
      <c r="F9" s="136">
        <f>(E9/$E$109*100)</f>
        <v>0.5159065117868271</v>
      </c>
    </row>
    <row r="10" spans="1:6" ht="12.75">
      <c r="A10" s="6" t="s">
        <v>83</v>
      </c>
      <c r="B10" s="176">
        <v>105931.44</v>
      </c>
      <c r="C10" s="135">
        <v>46964.4</v>
      </c>
      <c r="D10" s="176">
        <f>40500</f>
        <v>40500</v>
      </c>
      <c r="E10" s="135">
        <f aca="true" t="shared" si="0" ref="E10:E49">SUM(B10:D10)</f>
        <v>193395.84</v>
      </c>
      <c r="F10" s="136">
        <f aca="true" t="shared" si="1" ref="F10:F49">(E10/$E$109*100)</f>
        <v>0.6845827678470428</v>
      </c>
    </row>
    <row r="11" spans="1:6" ht="12.75">
      <c r="A11" s="1" t="s">
        <v>99</v>
      </c>
      <c r="B11" s="176"/>
      <c r="C11" s="135">
        <v>976345.03</v>
      </c>
      <c r="D11" s="176">
        <f>500000</f>
        <v>500000</v>
      </c>
      <c r="E11" s="135">
        <f t="shared" si="0"/>
        <v>1476345.03</v>
      </c>
      <c r="F11" s="136">
        <f t="shared" si="1"/>
        <v>5.225967461009633</v>
      </c>
    </row>
    <row r="12" spans="1:6" ht="12.75">
      <c r="A12" s="1" t="s">
        <v>377</v>
      </c>
      <c r="B12" s="135">
        <v>39600</v>
      </c>
      <c r="C12" s="135">
        <v>99900</v>
      </c>
      <c r="D12" s="176">
        <f>32764</f>
        <v>32764</v>
      </c>
      <c r="E12" s="135">
        <f t="shared" si="0"/>
        <v>172264</v>
      </c>
      <c r="F12" s="136">
        <f t="shared" si="1"/>
        <v>0.6097802616664504</v>
      </c>
    </row>
    <row r="13" spans="1:6" ht="12.75">
      <c r="A13" s="1" t="s">
        <v>280</v>
      </c>
      <c r="B13" s="135">
        <f>554700-100000</f>
        <v>454700</v>
      </c>
      <c r="C13" s="135">
        <v>183429.35</v>
      </c>
      <c r="D13" s="176">
        <f>32050.5</f>
        <v>32050.5</v>
      </c>
      <c r="E13" s="135">
        <f t="shared" si="0"/>
        <v>670179.85</v>
      </c>
      <c r="F13" s="136">
        <f t="shared" si="1"/>
        <v>2.372303233969851</v>
      </c>
    </row>
    <row r="14" spans="1:6" ht="12.75">
      <c r="A14" s="1" t="s">
        <v>192</v>
      </c>
      <c r="B14" s="176">
        <f>77780+203468.6</f>
        <v>281248.6</v>
      </c>
      <c r="C14" s="135"/>
      <c r="D14" s="176">
        <f>95482.3</f>
        <v>95482.3</v>
      </c>
      <c r="E14" s="135">
        <f t="shared" si="0"/>
        <v>376730.89999999997</v>
      </c>
      <c r="F14" s="136">
        <f t="shared" si="1"/>
        <v>1.3335523776287403</v>
      </c>
    </row>
    <row r="15" spans="1:6" ht="12.75">
      <c r="A15" s="1" t="s">
        <v>158</v>
      </c>
      <c r="B15" s="176">
        <f>31595</f>
        <v>31595</v>
      </c>
      <c r="C15" s="135">
        <v>80838.98</v>
      </c>
      <c r="D15" s="176"/>
      <c r="E15" s="135">
        <f t="shared" si="0"/>
        <v>112433.98</v>
      </c>
      <c r="F15" s="136">
        <f t="shared" si="1"/>
        <v>0.39799390322180167</v>
      </c>
    </row>
    <row r="16" spans="1:6" ht="12.75">
      <c r="A16" s="1" t="s">
        <v>366</v>
      </c>
      <c r="B16" s="176"/>
      <c r="C16" s="135"/>
      <c r="D16" s="176">
        <f>7840</f>
        <v>7840</v>
      </c>
      <c r="E16" s="135">
        <f t="shared" si="0"/>
        <v>7840</v>
      </c>
      <c r="F16" s="136">
        <f t="shared" si="1"/>
        <v>0.0277520390300061</v>
      </c>
    </row>
    <row r="17" spans="1:6" ht="12.75">
      <c r="A17" s="1" t="s">
        <v>161</v>
      </c>
      <c r="B17" s="176">
        <v>182462.24</v>
      </c>
      <c r="C17" s="135">
        <v>175207.44</v>
      </c>
      <c r="D17" s="176">
        <f>148588.74</f>
        <v>148588.74</v>
      </c>
      <c r="E17" s="135">
        <f t="shared" si="0"/>
        <v>506258.42</v>
      </c>
      <c r="F17" s="136">
        <f t="shared" si="1"/>
        <v>1.7920540090700536</v>
      </c>
    </row>
    <row r="18" spans="1:6" ht="12.75">
      <c r="A18" s="1" t="s">
        <v>211</v>
      </c>
      <c r="B18" s="176">
        <f>20000</f>
        <v>20000</v>
      </c>
      <c r="C18" s="135"/>
      <c r="D18" s="176"/>
      <c r="E18" s="135">
        <f t="shared" si="0"/>
        <v>20000</v>
      </c>
      <c r="F18" s="136">
        <f t="shared" si="1"/>
        <v>0.07079601793368903</v>
      </c>
    </row>
    <row r="19" spans="1:6" ht="12.75">
      <c r="A19" s="1" t="s">
        <v>210</v>
      </c>
      <c r="B19" s="176">
        <v>175367.78</v>
      </c>
      <c r="C19" s="135">
        <v>173122.5</v>
      </c>
      <c r="D19" s="176">
        <f>78156.98</f>
        <v>78156.98</v>
      </c>
      <c r="E19" s="135">
        <f t="shared" si="0"/>
        <v>426647.26</v>
      </c>
      <c r="F19" s="136">
        <f t="shared" si="1"/>
        <v>1.5102463535159645</v>
      </c>
    </row>
    <row r="20" spans="1:6" ht="12.75">
      <c r="A20" s="1" t="s">
        <v>148</v>
      </c>
      <c r="B20" s="176">
        <v>382990</v>
      </c>
      <c r="C20" s="135">
        <v>339595.5</v>
      </c>
      <c r="D20" s="176">
        <f>165907.5</f>
        <v>165907.5</v>
      </c>
      <c r="E20" s="135">
        <f t="shared" si="0"/>
        <v>888493</v>
      </c>
      <c r="F20" s="136">
        <f t="shared" si="1"/>
        <v>3.1450883180978586</v>
      </c>
    </row>
    <row r="21" spans="1:6" ht="12.75">
      <c r="A21" s="1" t="s">
        <v>95</v>
      </c>
      <c r="B21" s="176">
        <f>32000+120000</f>
        <v>152000</v>
      </c>
      <c r="C21" s="135">
        <f>32000+120000</f>
        <v>152000</v>
      </c>
      <c r="D21" s="176">
        <f>82000+120000</f>
        <v>202000</v>
      </c>
      <c r="E21" s="135">
        <f t="shared" si="0"/>
        <v>506000</v>
      </c>
      <c r="F21" s="136">
        <f t="shared" si="1"/>
        <v>1.7911392537223323</v>
      </c>
    </row>
    <row r="22" spans="1:6" ht="12.75">
      <c r="A22" s="1" t="s">
        <v>89</v>
      </c>
      <c r="B22" s="176">
        <f>60000</f>
        <v>60000</v>
      </c>
      <c r="C22" s="135">
        <f>73000+60000</f>
        <v>133000</v>
      </c>
      <c r="D22" s="176"/>
      <c r="E22" s="135">
        <f t="shared" si="0"/>
        <v>193000</v>
      </c>
      <c r="F22" s="136">
        <f t="shared" si="1"/>
        <v>0.6831815730600991</v>
      </c>
    </row>
    <row r="23" spans="1:6" ht="12.75">
      <c r="A23" s="1" t="s">
        <v>337</v>
      </c>
      <c r="B23" s="176">
        <f>20000</f>
        <v>20000</v>
      </c>
      <c r="C23" s="135"/>
      <c r="D23" s="176"/>
      <c r="E23" s="135">
        <f t="shared" si="0"/>
        <v>20000</v>
      </c>
      <c r="F23" s="136">
        <f t="shared" si="1"/>
        <v>0.07079601793368903</v>
      </c>
    </row>
    <row r="24" spans="1:6" ht="12.75">
      <c r="A24" s="1" t="s">
        <v>393</v>
      </c>
      <c r="B24" s="176">
        <f>300000</f>
        <v>300000</v>
      </c>
      <c r="C24" s="135">
        <v>300000</v>
      </c>
      <c r="D24" s="176">
        <v>300000</v>
      </c>
      <c r="E24" s="135">
        <f t="shared" si="0"/>
        <v>900000</v>
      </c>
      <c r="F24" s="136">
        <f t="shared" si="1"/>
        <v>3.1858208070160066</v>
      </c>
    </row>
    <row r="25" spans="1:6" ht="12.75">
      <c r="A25" s="1" t="s">
        <v>233</v>
      </c>
      <c r="B25" s="176">
        <f>100000</f>
        <v>100000</v>
      </c>
      <c r="C25" s="135">
        <v>100000</v>
      </c>
      <c r="D25" s="176">
        <v>100000</v>
      </c>
      <c r="E25" s="135">
        <f t="shared" si="0"/>
        <v>300000</v>
      </c>
      <c r="F25" s="136">
        <f t="shared" si="1"/>
        <v>1.0619402690053354</v>
      </c>
    </row>
    <row r="26" spans="1:6" ht="12.75">
      <c r="A26" s="1" t="s">
        <v>399</v>
      </c>
      <c r="B26" s="176">
        <f>880755.94+82000</f>
        <v>962755.94</v>
      </c>
      <c r="C26" s="135">
        <v>877314.93</v>
      </c>
      <c r="D26" s="176">
        <f>693829.76</f>
        <v>693829.76</v>
      </c>
      <c r="E26" s="135">
        <f t="shared" si="0"/>
        <v>2533900.63</v>
      </c>
      <c r="F26" s="136">
        <f t="shared" si="1"/>
        <v>8.969503722183296</v>
      </c>
    </row>
    <row r="27" spans="1:6" ht="12.75">
      <c r="A27" s="1" t="s">
        <v>405</v>
      </c>
      <c r="B27" s="176">
        <v>38000</v>
      </c>
      <c r="C27" s="135">
        <v>150000</v>
      </c>
      <c r="D27" s="176">
        <f>10900+305000</f>
        <v>315900</v>
      </c>
      <c r="E27" s="135">
        <f t="shared" si="0"/>
        <v>503900</v>
      </c>
      <c r="F27" s="136">
        <f t="shared" si="1"/>
        <v>1.783705671839295</v>
      </c>
    </row>
    <row r="28" spans="1:6" ht="12.75">
      <c r="A28" s="1" t="s">
        <v>90</v>
      </c>
      <c r="B28" s="176">
        <f>500000</f>
        <v>500000</v>
      </c>
      <c r="C28" s="135">
        <v>500000</v>
      </c>
      <c r="D28" s="176">
        <v>500000</v>
      </c>
      <c r="E28" s="135">
        <f t="shared" si="0"/>
        <v>1500000</v>
      </c>
      <c r="F28" s="136">
        <f t="shared" si="1"/>
        <v>5.309701345026677</v>
      </c>
    </row>
    <row r="29" spans="1:6" ht="12.75">
      <c r="A29" s="1" t="s">
        <v>406</v>
      </c>
      <c r="B29" s="176"/>
      <c r="C29" s="135">
        <f>39840+590000</f>
        <v>629840</v>
      </c>
      <c r="D29" s="176">
        <f>199000</f>
        <v>199000</v>
      </c>
      <c r="E29" s="135">
        <f t="shared" si="0"/>
        <v>828840</v>
      </c>
      <c r="F29" s="136">
        <f t="shared" si="1"/>
        <v>2.9339285752079407</v>
      </c>
    </row>
    <row r="30" spans="1:6" ht="12.75">
      <c r="A30" s="1" t="s">
        <v>487</v>
      </c>
      <c r="B30" s="176"/>
      <c r="C30" s="135">
        <v>3210</v>
      </c>
      <c r="D30" s="176"/>
      <c r="E30" s="135">
        <f>SUM(B30:D30)</f>
        <v>3210</v>
      </c>
      <c r="F30" s="136">
        <f t="shared" si="1"/>
        <v>0.01136276087835709</v>
      </c>
    </row>
    <row r="31" spans="1:6" ht="12.75">
      <c r="A31" s="1" t="s">
        <v>384</v>
      </c>
      <c r="B31" s="176">
        <f>100000</f>
        <v>100000</v>
      </c>
      <c r="C31" s="135">
        <v>55707.46</v>
      </c>
      <c r="D31" s="176">
        <f>50000</f>
        <v>50000</v>
      </c>
      <c r="E31" s="135">
        <f t="shared" si="0"/>
        <v>205707.46</v>
      </c>
      <c r="F31" s="136">
        <f t="shared" si="1"/>
        <v>0.7281634513626809</v>
      </c>
    </row>
    <row r="32" spans="1:6" ht="12.75">
      <c r="A32" s="1" t="s">
        <v>407</v>
      </c>
      <c r="B32" s="176">
        <f>70000</f>
        <v>70000</v>
      </c>
      <c r="C32" s="135">
        <v>70000</v>
      </c>
      <c r="D32" s="176">
        <f>140700</f>
        <v>140700</v>
      </c>
      <c r="E32" s="135">
        <f t="shared" si="0"/>
        <v>280700</v>
      </c>
      <c r="F32" s="136">
        <f t="shared" si="1"/>
        <v>0.9936221116993256</v>
      </c>
    </row>
    <row r="33" spans="1:6" ht="12.75">
      <c r="A33" s="1" t="s">
        <v>91</v>
      </c>
      <c r="B33" s="176">
        <f>20000</f>
        <v>20000</v>
      </c>
      <c r="C33" s="135"/>
      <c r="D33" s="176">
        <v>15000</v>
      </c>
      <c r="E33" s="135">
        <f t="shared" si="0"/>
        <v>35000</v>
      </c>
      <c r="F33" s="136">
        <f t="shared" si="1"/>
        <v>0.1238930313839558</v>
      </c>
    </row>
    <row r="34" spans="1:6" ht="12.75">
      <c r="A34" s="1" t="s">
        <v>234</v>
      </c>
      <c r="B34" s="176">
        <f>200000</f>
        <v>200000</v>
      </c>
      <c r="C34" s="135">
        <v>142000</v>
      </c>
      <c r="D34" s="176"/>
      <c r="E34" s="135">
        <f t="shared" si="0"/>
        <v>342000</v>
      </c>
      <c r="F34" s="136">
        <f t="shared" si="1"/>
        <v>1.2106119066660825</v>
      </c>
    </row>
    <row r="35" spans="1:6" ht="12.75">
      <c r="A35" s="1" t="s">
        <v>193</v>
      </c>
      <c r="B35" s="176">
        <f>250000</f>
        <v>250000</v>
      </c>
      <c r="C35" s="135">
        <v>250000</v>
      </c>
      <c r="D35" s="176">
        <v>250000</v>
      </c>
      <c r="E35" s="135">
        <f t="shared" si="0"/>
        <v>750000</v>
      </c>
      <c r="F35" s="136">
        <f t="shared" si="1"/>
        <v>2.6548506725133385</v>
      </c>
    </row>
    <row r="36" spans="1:6" ht="12.75">
      <c r="A36" s="1" t="s">
        <v>420</v>
      </c>
      <c r="B36" s="176">
        <v>50000</v>
      </c>
      <c r="C36" s="135">
        <v>190000</v>
      </c>
      <c r="D36" s="176"/>
      <c r="E36" s="135">
        <f t="shared" si="0"/>
        <v>240000</v>
      </c>
      <c r="F36" s="136">
        <f t="shared" si="1"/>
        <v>0.8495522152042684</v>
      </c>
    </row>
    <row r="37" spans="1:6" ht="12.75">
      <c r="A37" s="1" t="s">
        <v>426</v>
      </c>
      <c r="B37" s="176">
        <f>12000</f>
        <v>12000</v>
      </c>
      <c r="C37" s="135">
        <v>12000</v>
      </c>
      <c r="D37" s="176">
        <v>12000</v>
      </c>
      <c r="E37" s="135">
        <f t="shared" si="0"/>
        <v>36000</v>
      </c>
      <c r="F37" s="136">
        <f t="shared" si="1"/>
        <v>0.12743283228064026</v>
      </c>
    </row>
    <row r="38" spans="1:6" ht="12.75">
      <c r="A38" s="1" t="s">
        <v>92</v>
      </c>
      <c r="C38" s="135">
        <v>167203.38</v>
      </c>
      <c r="D38" s="176"/>
      <c r="E38" s="135">
        <f>SUM(B38:D38)</f>
        <v>167203.38</v>
      </c>
      <c r="F38" s="136">
        <f t="shared" si="1"/>
        <v>0.591866674452671</v>
      </c>
    </row>
    <row r="39" spans="1:6" ht="12.75">
      <c r="A39" s="1" t="s">
        <v>408</v>
      </c>
      <c r="B39" s="176">
        <f>240000</f>
        <v>240000</v>
      </c>
      <c r="C39" s="135">
        <v>50000</v>
      </c>
      <c r="D39" s="176">
        <v>110000</v>
      </c>
      <c r="E39" s="135">
        <f t="shared" si="0"/>
        <v>400000</v>
      </c>
      <c r="F39" s="136">
        <f t="shared" si="1"/>
        <v>1.4159203586737807</v>
      </c>
    </row>
    <row r="40" spans="1:6" ht="12.75">
      <c r="A40" s="1" t="s">
        <v>205</v>
      </c>
      <c r="B40" s="176">
        <f>25000</f>
        <v>25000</v>
      </c>
      <c r="C40" s="135">
        <v>25000</v>
      </c>
      <c r="D40" s="176">
        <v>25000</v>
      </c>
      <c r="E40" s="135">
        <f t="shared" si="0"/>
        <v>75000</v>
      </c>
      <c r="F40" s="136">
        <f t="shared" si="1"/>
        <v>0.26548506725133386</v>
      </c>
    </row>
    <row r="41" spans="1:6" ht="12.75">
      <c r="A41" s="1" t="s">
        <v>308</v>
      </c>
      <c r="B41" s="176">
        <f>300000</f>
        <v>300000</v>
      </c>
      <c r="C41" s="135"/>
      <c r="D41" s="176"/>
      <c r="E41" s="135">
        <f t="shared" si="0"/>
        <v>300000</v>
      </c>
      <c r="F41" s="136">
        <f t="shared" si="1"/>
        <v>1.0619402690053354</v>
      </c>
    </row>
    <row r="42" spans="1:6" ht="12.75">
      <c r="A42" s="1" t="s">
        <v>401</v>
      </c>
      <c r="B42" s="176">
        <v>30000</v>
      </c>
      <c r="C42" s="135">
        <v>70000</v>
      </c>
      <c r="D42" s="176"/>
      <c r="E42" s="135">
        <f t="shared" si="0"/>
        <v>100000</v>
      </c>
      <c r="F42" s="136">
        <f t="shared" si="1"/>
        <v>0.3539800896684452</v>
      </c>
    </row>
    <row r="43" spans="1:6" ht="12.75">
      <c r="A43" s="1" t="s">
        <v>361</v>
      </c>
      <c r="B43" s="176">
        <f>100000</f>
        <v>100000</v>
      </c>
      <c r="C43" s="135">
        <v>100000</v>
      </c>
      <c r="D43" s="176">
        <v>100000</v>
      </c>
      <c r="E43" s="135">
        <f t="shared" si="0"/>
        <v>300000</v>
      </c>
      <c r="F43" s="136">
        <f t="shared" si="1"/>
        <v>1.0619402690053354</v>
      </c>
    </row>
    <row r="44" spans="1:6" ht="12.75">
      <c r="A44" s="1" t="s">
        <v>409</v>
      </c>
      <c r="B44" s="176">
        <f>100000</f>
        <v>100000</v>
      </c>
      <c r="C44" s="135">
        <f>39960+100000</f>
        <v>139960</v>
      </c>
      <c r="D44" s="176">
        <v>100000</v>
      </c>
      <c r="E44" s="135">
        <f t="shared" si="0"/>
        <v>339960</v>
      </c>
      <c r="F44" s="136">
        <f t="shared" si="1"/>
        <v>1.2033907128368462</v>
      </c>
    </row>
    <row r="45" spans="1:6" ht="12.75">
      <c r="A45" s="1" t="s">
        <v>417</v>
      </c>
      <c r="B45" s="176">
        <f>13207.05+20000</f>
        <v>33207.05</v>
      </c>
      <c r="C45" s="135">
        <v>20000</v>
      </c>
      <c r="D45" s="176">
        <f>12453.62</f>
        <v>12453.62</v>
      </c>
      <c r="E45" s="135">
        <f t="shared" si="0"/>
        <v>65660.67</v>
      </c>
      <c r="F45" s="136">
        <f t="shared" si="1"/>
        <v>0.23242569854290185</v>
      </c>
    </row>
    <row r="46" spans="1:6" ht="12.75">
      <c r="A46" s="1" t="s">
        <v>410</v>
      </c>
      <c r="B46" s="176">
        <f>180000</f>
        <v>180000</v>
      </c>
      <c r="C46" s="135">
        <v>90000</v>
      </c>
      <c r="D46" s="176">
        <v>180000</v>
      </c>
      <c r="E46" s="135">
        <f t="shared" si="0"/>
        <v>450000</v>
      </c>
      <c r="F46" s="136">
        <f t="shared" si="1"/>
        <v>1.5929104035080033</v>
      </c>
    </row>
    <row r="47" spans="1:6" ht="12.75">
      <c r="A47" s="1" t="s">
        <v>348</v>
      </c>
      <c r="B47" s="176">
        <f>21730+100000</f>
        <v>121730</v>
      </c>
      <c r="C47" s="135">
        <v>100000</v>
      </c>
      <c r="D47" s="176">
        <v>100000</v>
      </c>
      <c r="E47" s="135">
        <f t="shared" si="0"/>
        <v>321730</v>
      </c>
      <c r="F47" s="136">
        <f t="shared" si="1"/>
        <v>1.1388601424902884</v>
      </c>
    </row>
    <row r="48" spans="1:6" ht="12.75">
      <c r="A48" s="1" t="s">
        <v>195</v>
      </c>
      <c r="B48" s="176">
        <f>15000+100000</f>
        <v>115000</v>
      </c>
      <c r="C48" s="135">
        <f>15000+100000</f>
        <v>115000</v>
      </c>
      <c r="D48" s="176">
        <v>100000</v>
      </c>
      <c r="E48" s="135">
        <f t="shared" si="0"/>
        <v>330000</v>
      </c>
      <c r="F48" s="136">
        <f t="shared" si="1"/>
        <v>1.168134295905869</v>
      </c>
    </row>
    <row r="49" spans="1:6" ht="12.75">
      <c r="A49" s="1" t="s">
        <v>215</v>
      </c>
      <c r="B49" s="176">
        <f>120000-28000-17950</f>
        <v>74050</v>
      </c>
      <c r="C49" s="135">
        <f>50000+120000</f>
        <v>170000</v>
      </c>
      <c r="D49" s="176">
        <f>50000+120000</f>
        <v>170000</v>
      </c>
      <c r="E49" s="135">
        <f t="shared" si="0"/>
        <v>414050</v>
      </c>
      <c r="F49" s="136">
        <f t="shared" si="1"/>
        <v>1.465654561272197</v>
      </c>
    </row>
    <row r="50" spans="1:6" ht="12.75" customHeight="1">
      <c r="A50" s="1" t="s">
        <v>235</v>
      </c>
      <c r="B50" s="176">
        <f>10000+100000</f>
        <v>110000</v>
      </c>
      <c r="C50" s="135">
        <f>10000+100000</f>
        <v>110000</v>
      </c>
      <c r="D50" s="176">
        <f>6000+100000</f>
        <v>106000</v>
      </c>
      <c r="E50" s="135">
        <f aca="true" t="shared" si="2" ref="E50:E91">SUM(B50:D50)</f>
        <v>326000</v>
      </c>
      <c r="F50" s="136">
        <f aca="true" t="shared" si="3" ref="F50:F91">(E50/$E$109*100)</f>
        <v>1.1539750923191312</v>
      </c>
    </row>
    <row r="51" spans="1:6" ht="12.75" customHeight="1">
      <c r="A51" s="1" t="s">
        <v>141</v>
      </c>
      <c r="B51" s="176">
        <f>150000</f>
        <v>150000</v>
      </c>
      <c r="C51" s="135">
        <f>183000+150000</f>
        <v>333000</v>
      </c>
      <c r="D51" s="176">
        <v>150000</v>
      </c>
      <c r="E51" s="135">
        <f t="shared" si="2"/>
        <v>633000</v>
      </c>
      <c r="F51" s="136">
        <f t="shared" si="3"/>
        <v>2.2406939676012576</v>
      </c>
    </row>
    <row r="52" spans="1:6" ht="12.75" customHeight="1">
      <c r="A52" s="1" t="s">
        <v>196</v>
      </c>
      <c r="B52" s="176">
        <f>60000+150000</f>
        <v>210000</v>
      </c>
      <c r="C52" s="135">
        <f>58000+150000</f>
        <v>208000</v>
      </c>
      <c r="D52" s="176">
        <v>150000</v>
      </c>
      <c r="E52" s="135">
        <f t="shared" si="2"/>
        <v>568000</v>
      </c>
      <c r="F52" s="136">
        <f t="shared" si="3"/>
        <v>2.010606909316768</v>
      </c>
    </row>
    <row r="53" spans="1:6" ht="12.75" customHeight="1">
      <c r="A53" s="1" t="s">
        <v>100</v>
      </c>
      <c r="B53" s="135">
        <f>70000</f>
        <v>70000</v>
      </c>
      <c r="C53" s="135">
        <v>70000</v>
      </c>
      <c r="D53" s="176">
        <v>70000</v>
      </c>
      <c r="E53" s="135">
        <f t="shared" si="2"/>
        <v>210000</v>
      </c>
      <c r="F53" s="136">
        <f t="shared" si="3"/>
        <v>0.7433581883037348</v>
      </c>
    </row>
    <row r="54" spans="1:6" ht="12.75" customHeight="1">
      <c r="A54" s="1" t="s">
        <v>93</v>
      </c>
      <c r="B54" s="176">
        <f>100000</f>
        <v>100000</v>
      </c>
      <c r="C54" s="135">
        <v>100000</v>
      </c>
      <c r="D54" s="176"/>
      <c r="E54" s="135">
        <f t="shared" si="2"/>
        <v>200000</v>
      </c>
      <c r="F54" s="136">
        <f t="shared" si="3"/>
        <v>0.7079601793368904</v>
      </c>
    </row>
    <row r="55" spans="1:6" ht="12" customHeight="1">
      <c r="A55" s="1" t="s">
        <v>334</v>
      </c>
      <c r="B55" s="176">
        <f>70000</f>
        <v>70000</v>
      </c>
      <c r="C55" s="135"/>
      <c r="D55" s="176">
        <f>40000</f>
        <v>40000</v>
      </c>
      <c r="E55" s="135">
        <f t="shared" si="2"/>
        <v>110000</v>
      </c>
      <c r="F55" s="136">
        <f t="shared" si="3"/>
        <v>0.38937809863528966</v>
      </c>
    </row>
    <row r="56" spans="1:6" ht="12" customHeight="1">
      <c r="A56" s="1" t="s">
        <v>96</v>
      </c>
      <c r="B56" s="176">
        <f>40000</f>
        <v>40000</v>
      </c>
      <c r="C56" s="135">
        <v>40000</v>
      </c>
      <c r="D56" s="176">
        <v>40000</v>
      </c>
      <c r="E56" s="135">
        <f t="shared" si="2"/>
        <v>120000</v>
      </c>
      <c r="F56" s="136">
        <f t="shared" si="3"/>
        <v>0.4247761076021342</v>
      </c>
    </row>
    <row r="57" spans="1:6" ht="12" customHeight="1">
      <c r="A57" s="1" t="s">
        <v>385</v>
      </c>
      <c r="B57" s="176"/>
      <c r="C57" s="135"/>
      <c r="D57" s="176">
        <v>240000</v>
      </c>
      <c r="E57" s="135">
        <f t="shared" si="2"/>
        <v>240000</v>
      </c>
      <c r="F57" s="136">
        <f t="shared" si="3"/>
        <v>0.8495522152042684</v>
      </c>
    </row>
    <row r="58" spans="1:6" ht="12" customHeight="1">
      <c r="A58" s="1" t="s">
        <v>400</v>
      </c>
      <c r="B58" s="176">
        <f>146937.5+60000</f>
        <v>206937.5</v>
      </c>
      <c r="C58" s="135">
        <v>60000</v>
      </c>
      <c r="D58" s="176">
        <f>304449.64+60000</f>
        <v>364449.64</v>
      </c>
      <c r="E58" s="135">
        <f t="shared" si="2"/>
        <v>631387.14</v>
      </c>
      <c r="F58" s="136">
        <f t="shared" si="3"/>
        <v>2.2349847643270313</v>
      </c>
    </row>
    <row r="59" spans="1:6" ht="12" customHeight="1">
      <c r="A59" s="1" t="s">
        <v>402</v>
      </c>
      <c r="B59" s="176">
        <f>30107.54+70000</f>
        <v>100107.54000000001</v>
      </c>
      <c r="C59" s="135">
        <f>20000+45000</f>
        <v>65000</v>
      </c>
      <c r="D59" s="176">
        <f>52875+70000</f>
        <v>122875</v>
      </c>
      <c r="E59" s="135">
        <f t="shared" si="2"/>
        <v>287982.54000000004</v>
      </c>
      <c r="F59" s="136">
        <f t="shared" si="3"/>
        <v>1.019400853321466</v>
      </c>
    </row>
    <row r="60" spans="1:6" ht="12" customHeight="1">
      <c r="A60" s="1" t="s">
        <v>403</v>
      </c>
      <c r="B60" s="176">
        <f>15925+120000</f>
        <v>135925</v>
      </c>
      <c r="C60" s="135">
        <f>40000+120000</f>
        <v>160000</v>
      </c>
      <c r="D60" s="176">
        <f>30000+120000</f>
        <v>150000</v>
      </c>
      <c r="E60" s="135">
        <f t="shared" si="2"/>
        <v>445925</v>
      </c>
      <c r="F60" s="136">
        <f t="shared" si="3"/>
        <v>1.5784857148540141</v>
      </c>
    </row>
    <row r="61" spans="1:6" ht="12" customHeight="1">
      <c r="A61" s="1" t="s">
        <v>404</v>
      </c>
      <c r="B61" s="176">
        <f>30000</f>
        <v>30000</v>
      </c>
      <c r="C61" s="135">
        <v>30000</v>
      </c>
      <c r="D61" s="176">
        <f>23765.01+30000</f>
        <v>53765.009999999995</v>
      </c>
      <c r="E61" s="135">
        <f t="shared" si="2"/>
        <v>113765.01</v>
      </c>
      <c r="F61" s="136">
        <f t="shared" si="3"/>
        <v>0.4027054844093156</v>
      </c>
    </row>
    <row r="62" spans="1:6" ht="12" customHeight="1">
      <c r="A62" s="1" t="s">
        <v>354</v>
      </c>
      <c r="B62" s="176"/>
      <c r="C62" s="135">
        <v>100000</v>
      </c>
      <c r="D62" s="176"/>
      <c r="E62" s="135">
        <f t="shared" si="2"/>
        <v>100000</v>
      </c>
      <c r="F62" s="136">
        <f t="shared" si="3"/>
        <v>0.3539800896684452</v>
      </c>
    </row>
    <row r="63" spans="1:6" ht="12" customHeight="1">
      <c r="A63" s="1" t="s">
        <v>603</v>
      </c>
      <c r="B63" s="176">
        <f>25000</f>
        <v>25000</v>
      </c>
      <c r="C63" s="135">
        <f>5000+25000</f>
        <v>30000</v>
      </c>
      <c r="D63" s="176">
        <v>25000</v>
      </c>
      <c r="E63" s="135">
        <f t="shared" si="2"/>
        <v>80000</v>
      </c>
      <c r="F63" s="136">
        <f t="shared" si="3"/>
        <v>0.2831840717347561</v>
      </c>
    </row>
    <row r="64" spans="1:6" ht="12" customHeight="1">
      <c r="A64" s="1" t="s">
        <v>378</v>
      </c>
      <c r="B64" s="176"/>
      <c r="C64" s="135">
        <v>38000</v>
      </c>
      <c r="D64" s="176">
        <v>40500</v>
      </c>
      <c r="E64" s="135">
        <f t="shared" si="2"/>
        <v>78500</v>
      </c>
      <c r="F64" s="136">
        <f t="shared" si="3"/>
        <v>0.27787437038972945</v>
      </c>
    </row>
    <row r="65" spans="1:6" ht="12" customHeight="1">
      <c r="A65" s="1" t="s">
        <v>101</v>
      </c>
      <c r="B65" s="176">
        <f>40000</f>
        <v>40000</v>
      </c>
      <c r="C65" s="135">
        <v>40000</v>
      </c>
      <c r="D65" s="176"/>
      <c r="E65" s="135">
        <f t="shared" si="2"/>
        <v>80000</v>
      </c>
      <c r="F65" s="136">
        <f t="shared" si="3"/>
        <v>0.2831840717347561</v>
      </c>
    </row>
    <row r="66" spans="1:6" ht="12" customHeight="1">
      <c r="A66" s="1" t="s">
        <v>281</v>
      </c>
      <c r="B66" s="176">
        <f>50000</f>
        <v>50000</v>
      </c>
      <c r="C66" s="135">
        <v>34035</v>
      </c>
      <c r="D66" s="176">
        <v>170000</v>
      </c>
      <c r="E66" s="135">
        <f t="shared" si="2"/>
        <v>254035</v>
      </c>
      <c r="F66" s="136">
        <f t="shared" si="3"/>
        <v>0.8992333207892346</v>
      </c>
    </row>
    <row r="67" spans="1:6" ht="12" customHeight="1">
      <c r="A67" s="1" t="s">
        <v>102</v>
      </c>
      <c r="B67" s="176"/>
      <c r="C67" s="135">
        <v>50000</v>
      </c>
      <c r="D67" s="176">
        <v>50000</v>
      </c>
      <c r="E67" s="135">
        <f t="shared" si="2"/>
        <v>100000</v>
      </c>
      <c r="F67" s="136">
        <f t="shared" si="3"/>
        <v>0.3539800896684452</v>
      </c>
    </row>
    <row r="68" spans="1:6" ht="12" customHeight="1">
      <c r="A68" s="1" t="s">
        <v>97</v>
      </c>
      <c r="B68" s="176">
        <f>80000</f>
        <v>80000</v>
      </c>
      <c r="C68" s="176">
        <f>100000+80000</f>
        <v>180000</v>
      </c>
      <c r="D68" s="176"/>
      <c r="E68" s="135">
        <f t="shared" si="2"/>
        <v>260000</v>
      </c>
      <c r="F68" s="136">
        <f t="shared" si="3"/>
        <v>0.9203482331379573</v>
      </c>
    </row>
    <row r="69" spans="1:6" ht="12" customHeight="1">
      <c r="A69" s="1" t="s">
        <v>140</v>
      </c>
      <c r="B69" s="176">
        <f>18000</f>
        <v>18000</v>
      </c>
      <c r="C69" s="176">
        <v>18000</v>
      </c>
      <c r="D69" s="176">
        <v>18000</v>
      </c>
      <c r="E69" s="135">
        <f t="shared" si="2"/>
        <v>54000</v>
      </c>
      <c r="F69" s="136">
        <f t="shared" si="3"/>
        <v>0.19114924842096037</v>
      </c>
    </row>
    <row r="70" spans="1:6" ht="12" customHeight="1">
      <c r="A70" s="1" t="s">
        <v>142</v>
      </c>
      <c r="B70" s="176"/>
      <c r="C70" s="176">
        <v>80000</v>
      </c>
      <c r="D70" s="176">
        <v>80000</v>
      </c>
      <c r="E70" s="135">
        <f t="shared" si="2"/>
        <v>160000</v>
      </c>
      <c r="F70" s="136">
        <f t="shared" si="3"/>
        <v>0.5663681434695123</v>
      </c>
    </row>
    <row r="71" spans="1:6" ht="12" customHeight="1">
      <c r="A71" s="1" t="s">
        <v>128</v>
      </c>
      <c r="B71" s="176">
        <f>40000</f>
        <v>40000</v>
      </c>
      <c r="C71" s="176">
        <v>40000</v>
      </c>
      <c r="D71" s="176">
        <v>40000</v>
      </c>
      <c r="E71" s="135">
        <f t="shared" si="2"/>
        <v>120000</v>
      </c>
      <c r="F71" s="136">
        <f t="shared" si="3"/>
        <v>0.4247761076021342</v>
      </c>
    </row>
    <row r="72" spans="1:6" ht="12" customHeight="1">
      <c r="A72" s="1" t="s">
        <v>208</v>
      </c>
      <c r="B72" s="176"/>
      <c r="C72" s="176">
        <v>35000</v>
      </c>
      <c r="D72" s="176">
        <v>35000</v>
      </c>
      <c r="E72" s="135">
        <f t="shared" si="2"/>
        <v>70000</v>
      </c>
      <c r="F72" s="136">
        <f t="shared" si="3"/>
        <v>0.2477860627679116</v>
      </c>
    </row>
    <row r="73" spans="1:6" ht="12" customHeight="1">
      <c r="A73" s="1" t="s">
        <v>341</v>
      </c>
      <c r="B73" s="176"/>
      <c r="C73" s="176">
        <v>35000</v>
      </c>
      <c r="D73" s="176">
        <v>25000</v>
      </c>
      <c r="E73" s="135">
        <f t="shared" si="2"/>
        <v>60000</v>
      </c>
      <c r="F73" s="136">
        <f t="shared" si="3"/>
        <v>0.2123880538010671</v>
      </c>
    </row>
    <row r="74" spans="1:6" ht="12" customHeight="1">
      <c r="A74" s="1" t="s">
        <v>98</v>
      </c>
      <c r="B74" s="176"/>
      <c r="C74" s="176">
        <v>60000</v>
      </c>
      <c r="D74" s="176">
        <f>7624.36+30000</f>
        <v>37624.36</v>
      </c>
      <c r="E74" s="135">
        <f t="shared" si="2"/>
        <v>97624.36</v>
      </c>
      <c r="F74" s="136">
        <f t="shared" si="3"/>
        <v>0.34557079706624566</v>
      </c>
    </row>
    <row r="75" spans="1:6" ht="12" customHeight="1">
      <c r="A75" s="1" t="s">
        <v>604</v>
      </c>
      <c r="B75" s="176"/>
      <c r="C75" s="176">
        <v>200000</v>
      </c>
      <c r="D75" s="176"/>
      <c r="E75" s="135">
        <f t="shared" si="2"/>
        <v>200000</v>
      </c>
      <c r="F75" s="136">
        <f t="shared" si="3"/>
        <v>0.7079601793368904</v>
      </c>
    </row>
    <row r="76" spans="1:6" ht="12" customHeight="1">
      <c r="A76" s="1" t="s">
        <v>103</v>
      </c>
      <c r="B76" s="176">
        <f>100000</f>
        <v>100000</v>
      </c>
      <c r="C76" s="176">
        <v>100000</v>
      </c>
      <c r="D76" s="176">
        <v>100000</v>
      </c>
      <c r="E76" s="135">
        <f t="shared" si="2"/>
        <v>300000</v>
      </c>
      <c r="F76" s="136">
        <f t="shared" si="3"/>
        <v>1.0619402690053354</v>
      </c>
    </row>
    <row r="77" spans="1:6" ht="12" customHeight="1">
      <c r="A77" s="1" t="s">
        <v>430</v>
      </c>
      <c r="B77" s="176">
        <f>50000</f>
        <v>50000</v>
      </c>
      <c r="C77" s="176">
        <v>50000</v>
      </c>
      <c r="D77" s="176">
        <v>50000</v>
      </c>
      <c r="E77" s="135">
        <f t="shared" si="2"/>
        <v>150000</v>
      </c>
      <c r="F77" s="136">
        <f t="shared" si="3"/>
        <v>0.5309701345026677</v>
      </c>
    </row>
    <row r="78" spans="1:6" ht="12" customHeight="1">
      <c r="A78" s="1" t="s">
        <v>105</v>
      </c>
      <c r="B78" s="176">
        <f>30000</f>
        <v>30000</v>
      </c>
      <c r="C78" s="176">
        <v>30000</v>
      </c>
      <c r="D78" s="176"/>
      <c r="E78" s="135">
        <f t="shared" si="2"/>
        <v>60000</v>
      </c>
      <c r="F78" s="136">
        <f t="shared" si="3"/>
        <v>0.2123880538010671</v>
      </c>
    </row>
    <row r="79" spans="1:6" ht="12" customHeight="1">
      <c r="A79" s="1" t="s">
        <v>605</v>
      </c>
      <c r="B79" s="176">
        <f>50000</f>
        <v>50000</v>
      </c>
      <c r="C79" s="176">
        <f>14470+50000</f>
        <v>64470</v>
      </c>
      <c r="D79" s="176">
        <v>30000</v>
      </c>
      <c r="E79" s="135">
        <f t="shared" si="2"/>
        <v>144470</v>
      </c>
      <c r="F79" s="136">
        <f t="shared" si="3"/>
        <v>0.5113950355440027</v>
      </c>
    </row>
    <row r="80" spans="1:6" ht="12" customHeight="1">
      <c r="A80" s="1" t="s">
        <v>411</v>
      </c>
      <c r="B80" s="176">
        <f>20000</f>
        <v>20000</v>
      </c>
      <c r="C80" s="176">
        <v>20000</v>
      </c>
      <c r="D80" s="176"/>
      <c r="E80" s="135">
        <f t="shared" si="2"/>
        <v>40000</v>
      </c>
      <c r="F80" s="136">
        <f t="shared" si="3"/>
        <v>0.14159203586737806</v>
      </c>
    </row>
    <row r="81" spans="1:6" ht="12" customHeight="1">
      <c r="A81" s="1" t="s">
        <v>106</v>
      </c>
      <c r="B81" s="176">
        <f>30000+0</f>
        <v>30000</v>
      </c>
      <c r="C81" s="176">
        <v>30000</v>
      </c>
      <c r="D81" s="176">
        <v>30000</v>
      </c>
      <c r="E81" s="135">
        <f t="shared" si="2"/>
        <v>90000</v>
      </c>
      <c r="F81" s="136">
        <f t="shared" si="3"/>
        <v>0.31858208070160066</v>
      </c>
    </row>
    <row r="82" spans="1:6" ht="12" customHeight="1">
      <c r="A82" s="1" t="s">
        <v>606</v>
      </c>
      <c r="B82" s="176">
        <f>10000+30000</f>
        <v>40000</v>
      </c>
      <c r="C82" s="176">
        <v>30000</v>
      </c>
      <c r="D82" s="176">
        <v>30000</v>
      </c>
      <c r="E82" s="135">
        <f t="shared" si="2"/>
        <v>100000</v>
      </c>
      <c r="F82" s="136">
        <f t="shared" si="3"/>
        <v>0.3539800896684452</v>
      </c>
    </row>
    <row r="83" spans="1:6" ht="12" customHeight="1">
      <c r="A83" s="1" t="s">
        <v>107</v>
      </c>
      <c r="B83" s="176">
        <f>25000+60000</f>
        <v>85000</v>
      </c>
      <c r="C83" s="176">
        <v>60000</v>
      </c>
      <c r="D83" s="176">
        <v>60000</v>
      </c>
      <c r="E83" s="135">
        <f t="shared" si="2"/>
        <v>205000</v>
      </c>
      <c r="F83" s="136">
        <f t="shared" si="3"/>
        <v>0.7256591838203126</v>
      </c>
    </row>
    <row r="84" spans="1:6" ht="12" customHeight="1">
      <c r="A84" s="1" t="s">
        <v>143</v>
      </c>
      <c r="B84" s="176">
        <f>50000</f>
        <v>50000</v>
      </c>
      <c r="C84" s="176">
        <v>50000</v>
      </c>
      <c r="D84" s="176">
        <v>50000</v>
      </c>
      <c r="E84" s="135">
        <f t="shared" si="2"/>
        <v>150000</v>
      </c>
      <c r="F84" s="136">
        <f t="shared" si="3"/>
        <v>0.5309701345026677</v>
      </c>
    </row>
    <row r="85" spans="1:6" ht="12" customHeight="1">
      <c r="A85" s="1" t="s">
        <v>212</v>
      </c>
      <c r="B85" s="176">
        <f>20000</f>
        <v>20000</v>
      </c>
      <c r="C85" s="176">
        <v>20000</v>
      </c>
      <c r="D85" s="176">
        <v>20000</v>
      </c>
      <c r="E85" s="135">
        <f t="shared" si="2"/>
        <v>60000</v>
      </c>
      <c r="F85" s="136">
        <f t="shared" si="3"/>
        <v>0.2123880538010671</v>
      </c>
    </row>
    <row r="86" spans="1:6" ht="12" customHeight="1">
      <c r="A86" s="1" t="s">
        <v>418</v>
      </c>
      <c r="B86" s="176"/>
      <c r="C86" s="176">
        <v>20000</v>
      </c>
      <c r="D86" s="176"/>
      <c r="E86" s="135">
        <f t="shared" si="2"/>
        <v>20000</v>
      </c>
      <c r="F86" s="136">
        <f t="shared" si="3"/>
        <v>0.07079601793368903</v>
      </c>
    </row>
    <row r="87" spans="1:6" ht="12" customHeight="1">
      <c r="A87" s="1" t="s">
        <v>108</v>
      </c>
      <c r="B87" s="176">
        <f>30000</f>
        <v>30000</v>
      </c>
      <c r="C87" s="176">
        <v>45000</v>
      </c>
      <c r="D87" s="176"/>
      <c r="E87" s="135">
        <f t="shared" si="2"/>
        <v>75000</v>
      </c>
      <c r="F87" s="136">
        <f t="shared" si="3"/>
        <v>0.26548506725133386</v>
      </c>
    </row>
    <row r="88" spans="1:6" ht="12" customHeight="1">
      <c r="A88" s="1" t="s">
        <v>295</v>
      </c>
      <c r="B88" s="176">
        <f>90000</f>
        <v>90000</v>
      </c>
      <c r="C88" s="176">
        <v>90000</v>
      </c>
      <c r="D88" s="176"/>
      <c r="E88" s="135">
        <f t="shared" si="2"/>
        <v>180000</v>
      </c>
      <c r="F88" s="136">
        <f t="shared" si="3"/>
        <v>0.6371641614032013</v>
      </c>
    </row>
    <row r="89" spans="1:6" ht="12" customHeight="1">
      <c r="A89" s="1" t="s">
        <v>163</v>
      </c>
      <c r="B89" s="176"/>
      <c r="C89" s="176">
        <f>150030+280000</f>
        <v>430030</v>
      </c>
      <c r="D89" s="176">
        <f>120000+140000</f>
        <v>260000</v>
      </c>
      <c r="E89" s="135">
        <f t="shared" si="2"/>
        <v>690030</v>
      </c>
      <c r="F89" s="136">
        <f t="shared" si="3"/>
        <v>2.442568812739172</v>
      </c>
    </row>
    <row r="90" spans="1:6" ht="12" customHeight="1">
      <c r="A90" s="1" t="s">
        <v>355</v>
      </c>
      <c r="B90" s="176">
        <f>30000</f>
        <v>30000</v>
      </c>
      <c r="C90" s="176"/>
      <c r="D90" s="176">
        <v>15000</v>
      </c>
      <c r="E90" s="135">
        <f t="shared" si="2"/>
        <v>45000</v>
      </c>
      <c r="F90" s="136">
        <f t="shared" si="3"/>
        <v>0.15929104035080033</v>
      </c>
    </row>
    <row r="91" spans="1:6" ht="12" customHeight="1">
      <c r="A91" s="1" t="s">
        <v>214</v>
      </c>
      <c r="B91" s="176">
        <f>5805+15000</f>
        <v>20805</v>
      </c>
      <c r="C91" s="176">
        <v>15000</v>
      </c>
      <c r="D91" s="176">
        <v>15000</v>
      </c>
      <c r="E91" s="135">
        <f t="shared" si="2"/>
        <v>50805</v>
      </c>
      <c r="F91" s="136">
        <f t="shared" si="3"/>
        <v>0.17983958455605356</v>
      </c>
    </row>
    <row r="92" spans="1:7" ht="12.75" customHeight="1">
      <c r="A92" s="1" t="s">
        <v>164</v>
      </c>
      <c r="B92" s="176">
        <f>30000</f>
        <v>30000</v>
      </c>
      <c r="C92" s="176">
        <v>30000</v>
      </c>
      <c r="D92" s="176"/>
      <c r="E92" s="135">
        <f aca="true" t="shared" si="4" ref="E92:E107">SUM(B92:D92)</f>
        <v>60000</v>
      </c>
      <c r="F92" s="136">
        <f aca="true" t="shared" si="5" ref="F92:F107">(E92/$E$109*100)</f>
        <v>0.2123880538010671</v>
      </c>
      <c r="G92" s="103"/>
    </row>
    <row r="93" spans="1:7" ht="12.75" customHeight="1">
      <c r="A93" s="1" t="s">
        <v>412</v>
      </c>
      <c r="B93" s="176"/>
      <c r="C93" s="176">
        <v>30000</v>
      </c>
      <c r="D93" s="176">
        <v>30000</v>
      </c>
      <c r="E93" s="135">
        <f t="shared" si="4"/>
        <v>60000</v>
      </c>
      <c r="F93" s="136">
        <f t="shared" si="5"/>
        <v>0.2123880538010671</v>
      </c>
      <c r="G93" s="103"/>
    </row>
    <row r="94" spans="1:7" ht="12.75" customHeight="1">
      <c r="A94" s="1" t="s">
        <v>194</v>
      </c>
      <c r="B94" s="176">
        <f>30000</f>
        <v>30000</v>
      </c>
      <c r="C94" s="176">
        <v>30000</v>
      </c>
      <c r="D94" s="176">
        <v>30000</v>
      </c>
      <c r="E94" s="135">
        <f t="shared" si="4"/>
        <v>90000</v>
      </c>
      <c r="F94" s="136">
        <f t="shared" si="5"/>
        <v>0.31858208070160066</v>
      </c>
      <c r="G94" s="103"/>
    </row>
    <row r="95" spans="1:7" ht="12.75" customHeight="1">
      <c r="A95" s="1" t="s">
        <v>236</v>
      </c>
      <c r="B95" s="176"/>
      <c r="C95" s="176">
        <v>56000</v>
      </c>
      <c r="D95" s="176">
        <v>60000</v>
      </c>
      <c r="E95" s="135">
        <f t="shared" si="4"/>
        <v>116000</v>
      </c>
      <c r="F95" s="136">
        <f t="shared" si="5"/>
        <v>0.4106169040153963</v>
      </c>
      <c r="G95" s="103"/>
    </row>
    <row r="96" spans="1:7" ht="12.75" customHeight="1">
      <c r="A96" s="1" t="s">
        <v>439</v>
      </c>
      <c r="B96" s="176">
        <f>50000</f>
        <v>50000</v>
      </c>
      <c r="C96" s="176">
        <v>50000</v>
      </c>
      <c r="D96" s="176">
        <v>50000</v>
      </c>
      <c r="E96" s="135">
        <f t="shared" si="4"/>
        <v>150000</v>
      </c>
      <c r="F96" s="136">
        <f t="shared" si="5"/>
        <v>0.5309701345026677</v>
      </c>
      <c r="G96" s="103"/>
    </row>
    <row r="97" spans="1:7" ht="12.75" customHeight="1">
      <c r="A97" s="1" t="s">
        <v>165</v>
      </c>
      <c r="B97" s="176">
        <f>55000</f>
        <v>55000</v>
      </c>
      <c r="C97" s="176">
        <f>15000+55000</f>
        <v>70000</v>
      </c>
      <c r="D97" s="176">
        <v>55000</v>
      </c>
      <c r="E97" s="135">
        <f t="shared" si="4"/>
        <v>180000</v>
      </c>
      <c r="F97" s="136">
        <f t="shared" si="5"/>
        <v>0.6371641614032013</v>
      </c>
      <c r="G97" s="103"/>
    </row>
    <row r="98" spans="1:7" ht="12.75" customHeight="1">
      <c r="A98" s="1" t="s">
        <v>122</v>
      </c>
      <c r="B98" s="176">
        <f>30000</f>
        <v>30000</v>
      </c>
      <c r="C98" s="176">
        <v>30000</v>
      </c>
      <c r="D98" s="176"/>
      <c r="E98" s="135">
        <f t="shared" si="4"/>
        <v>60000</v>
      </c>
      <c r="F98" s="136">
        <f t="shared" si="5"/>
        <v>0.2123880538010671</v>
      </c>
      <c r="G98" s="103"/>
    </row>
    <row r="99" spans="1:7" ht="12.75" customHeight="1">
      <c r="A99" s="1" t="s">
        <v>109</v>
      </c>
      <c r="B99" s="176">
        <f>110000</f>
        <v>110000</v>
      </c>
      <c r="C99" s="176">
        <v>110000</v>
      </c>
      <c r="D99" s="176">
        <v>110000</v>
      </c>
      <c r="E99" s="135">
        <f t="shared" si="4"/>
        <v>330000</v>
      </c>
      <c r="F99" s="136">
        <f t="shared" si="5"/>
        <v>1.168134295905869</v>
      </c>
      <c r="G99" s="103"/>
    </row>
    <row r="100" spans="1:7" ht="12.75" customHeight="1">
      <c r="A100" s="1" t="s">
        <v>209</v>
      </c>
      <c r="B100" s="176">
        <f>210000+70000</f>
        <v>280000</v>
      </c>
      <c r="C100" s="176">
        <v>25700</v>
      </c>
      <c r="D100" s="176">
        <f>56757.5+60000</f>
        <v>116757.5</v>
      </c>
      <c r="E100" s="135">
        <f t="shared" si="4"/>
        <v>422457.5</v>
      </c>
      <c r="F100" s="136">
        <f t="shared" si="5"/>
        <v>1.4954154373110717</v>
      </c>
      <c r="G100" s="103"/>
    </row>
    <row r="101" spans="1:7" ht="12.75" customHeight="1">
      <c r="A101" s="1" t="s">
        <v>419</v>
      </c>
      <c r="B101" s="176"/>
      <c r="C101" s="176">
        <v>15000</v>
      </c>
      <c r="D101" s="176">
        <v>15000</v>
      </c>
      <c r="E101" s="135">
        <f t="shared" si="4"/>
        <v>30000</v>
      </c>
      <c r="F101" s="136">
        <f t="shared" si="5"/>
        <v>0.10619402690053355</v>
      </c>
      <c r="G101" s="103"/>
    </row>
    <row r="102" spans="1:7" ht="12" customHeight="1">
      <c r="A102" s="1" t="s">
        <v>241</v>
      </c>
      <c r="B102" s="176">
        <f>40000</f>
        <v>40000</v>
      </c>
      <c r="C102" s="176">
        <v>30000</v>
      </c>
      <c r="D102" s="176">
        <v>40000</v>
      </c>
      <c r="E102" s="135">
        <f t="shared" si="4"/>
        <v>110000</v>
      </c>
      <c r="F102" s="136">
        <f t="shared" si="5"/>
        <v>0.38937809863528966</v>
      </c>
      <c r="G102" s="103"/>
    </row>
    <row r="103" spans="1:7" ht="12" customHeight="1">
      <c r="A103" s="1" t="s">
        <v>324</v>
      </c>
      <c r="B103" s="176">
        <f>25000</f>
        <v>25000</v>
      </c>
      <c r="C103" s="176">
        <v>25000</v>
      </c>
      <c r="D103" s="176"/>
      <c r="E103" s="135">
        <f t="shared" si="4"/>
        <v>50000</v>
      </c>
      <c r="F103" s="136">
        <f t="shared" si="5"/>
        <v>0.1769900448342226</v>
      </c>
      <c r="G103" s="103"/>
    </row>
    <row r="104" spans="1:7" ht="12" customHeight="1">
      <c r="A104" s="1" t="s">
        <v>237</v>
      </c>
      <c r="B104" s="176">
        <f>100000</f>
        <v>100000</v>
      </c>
      <c r="C104" s="176">
        <v>100000</v>
      </c>
      <c r="D104" s="176">
        <v>100000</v>
      </c>
      <c r="E104" s="135">
        <f t="shared" si="4"/>
        <v>300000</v>
      </c>
      <c r="F104" s="136">
        <f t="shared" si="5"/>
        <v>1.0619402690053354</v>
      </c>
      <c r="G104" s="103"/>
    </row>
    <row r="105" spans="1:7" ht="12" customHeight="1">
      <c r="A105" s="1" t="s">
        <v>238</v>
      </c>
      <c r="B105" s="176">
        <f>100000</f>
        <v>100000</v>
      </c>
      <c r="C105" s="176">
        <v>100000</v>
      </c>
      <c r="D105" s="176">
        <v>83000</v>
      </c>
      <c r="E105" s="135">
        <f t="shared" si="4"/>
        <v>283000</v>
      </c>
      <c r="F105" s="136">
        <f t="shared" si="5"/>
        <v>1.0017636537616998</v>
      </c>
      <c r="G105" s="103"/>
    </row>
    <row r="106" spans="1:7" ht="12" customHeight="1">
      <c r="A106" s="1" t="s">
        <v>296</v>
      </c>
      <c r="B106" s="176">
        <f>90000</f>
        <v>90000</v>
      </c>
      <c r="C106" s="176">
        <f>40000+90000</f>
        <v>130000</v>
      </c>
      <c r="D106" s="176">
        <v>90000</v>
      </c>
      <c r="E106" s="135">
        <f t="shared" si="4"/>
        <v>310000</v>
      </c>
      <c r="F106" s="136">
        <f t="shared" si="5"/>
        <v>1.0973382779721799</v>
      </c>
      <c r="G106" s="103"/>
    </row>
    <row r="107" spans="1:7" ht="12" customHeight="1">
      <c r="A107" s="1" t="s">
        <v>239</v>
      </c>
      <c r="B107" s="176">
        <f>100000</f>
        <v>100000</v>
      </c>
      <c r="C107" s="176">
        <v>100000</v>
      </c>
      <c r="D107" s="176">
        <v>100000</v>
      </c>
      <c r="E107" s="129">
        <f t="shared" si="4"/>
        <v>300000</v>
      </c>
      <c r="F107" s="131">
        <f t="shared" si="5"/>
        <v>1.0619402690053354</v>
      </c>
      <c r="G107" s="103"/>
    </row>
    <row r="108" spans="2:7" ht="9" customHeight="1">
      <c r="B108" s="176"/>
      <c r="C108" s="176"/>
      <c r="D108" s="176"/>
      <c r="E108" s="176"/>
      <c r="F108" s="131"/>
      <c r="G108" s="103"/>
    </row>
    <row r="109" spans="1:7" ht="12" customHeight="1" thickBot="1">
      <c r="A109" s="4" t="s">
        <v>177</v>
      </c>
      <c r="B109" s="151">
        <f>SUM(B9:B108)</f>
        <v>8989413.09</v>
      </c>
      <c r="C109" s="151">
        <f>SUM(C9:C108)</f>
        <v>10935618.47</v>
      </c>
      <c r="D109" s="151">
        <f>SUM(D9:D108)</f>
        <v>8325144.91</v>
      </c>
      <c r="E109" s="151">
        <f>SUM(E9:E108)</f>
        <v>28250176.470000003</v>
      </c>
      <c r="F109" s="151">
        <f>SUM(F9:F108)</f>
        <v>99.99999999999993</v>
      </c>
      <c r="G109" s="103"/>
    </row>
    <row r="110" spans="2:7" ht="12" customHeight="1" thickTop="1">
      <c r="B110" s="103"/>
      <c r="C110" s="103"/>
      <c r="D110" s="103"/>
      <c r="E110" s="103"/>
      <c r="F110" s="103"/>
      <c r="G110" s="103"/>
    </row>
    <row r="111" spans="2:7" ht="12.75">
      <c r="B111" s="140"/>
      <c r="C111" s="140"/>
      <c r="D111" s="103"/>
      <c r="E111" s="103"/>
      <c r="F111" s="103"/>
      <c r="G111" s="103"/>
    </row>
    <row r="112" spans="2:7" ht="12.75">
      <c r="B112" s="140"/>
      <c r="C112" s="140"/>
      <c r="D112" s="176"/>
      <c r="E112" s="103"/>
      <c r="F112" s="103"/>
      <c r="G112" s="103"/>
    </row>
    <row r="113" spans="2:3" ht="12.75">
      <c r="B113" s="39"/>
      <c r="C113" s="39"/>
    </row>
  </sheetData>
  <mergeCells count="5">
    <mergeCell ref="A5:F5"/>
    <mergeCell ref="E1:F1"/>
    <mergeCell ref="A2:F2"/>
    <mergeCell ref="A3:F3"/>
    <mergeCell ref="A4:F4"/>
  </mergeCells>
  <printOptions/>
  <pageMargins left="0.9055118110236221" right="0.5905511811023623" top="0.7874015748031497" bottom="0.7480314960629921" header="0" footer="0.3937007874015748"/>
  <pageSetup horizontalDpi="600" verticalDpi="600" orientation="portrait" r:id="rId1"/>
  <headerFooter alignWithMargins="0">
    <oddFooter>&amp;R&amp;P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J7" sqref="J7"/>
    </sheetView>
  </sheetViews>
  <sheetFormatPr defaultColWidth="11.421875" defaultRowHeight="12.75"/>
  <cols>
    <col min="1" max="1" width="37.57421875" style="1" customWidth="1"/>
    <col min="2" max="4" width="11.421875" style="23" customWidth="1"/>
    <col min="5" max="5" width="11.00390625" style="23" customWidth="1"/>
    <col min="6" max="6" width="6.57421875" style="1" customWidth="1"/>
    <col min="7" max="7" width="2.57421875" style="1" customWidth="1"/>
    <col min="8" max="16384" width="11.421875" style="1" customWidth="1"/>
  </cols>
  <sheetData>
    <row r="1" spans="1:6" ht="12.75" customHeight="1">
      <c r="A1" s="248"/>
      <c r="B1" s="249"/>
      <c r="C1" s="249"/>
      <c r="D1" s="249"/>
      <c r="E1" s="287" t="s">
        <v>134</v>
      </c>
      <c r="F1" s="287"/>
    </row>
    <row r="2" spans="1:6" ht="12.75" customHeight="1">
      <c r="A2" s="286" t="s">
        <v>309</v>
      </c>
      <c r="B2" s="286"/>
      <c r="C2" s="286"/>
      <c r="D2" s="286"/>
      <c r="E2" s="286"/>
      <c r="F2" s="286"/>
    </row>
    <row r="3" spans="1:6" ht="12.75" customHeight="1">
      <c r="A3" s="286" t="s">
        <v>524</v>
      </c>
      <c r="B3" s="286"/>
      <c r="C3" s="286"/>
      <c r="D3" s="286"/>
      <c r="E3" s="286"/>
      <c r="F3" s="286"/>
    </row>
    <row r="4" spans="1:6" ht="12.75" customHeight="1">
      <c r="A4" s="286" t="s">
        <v>322</v>
      </c>
      <c r="B4" s="286"/>
      <c r="C4" s="286"/>
      <c r="D4" s="286"/>
      <c r="E4" s="286"/>
      <c r="F4" s="286"/>
    </row>
    <row r="5" spans="1:7" ht="12.75" customHeight="1">
      <c r="A5" s="286" t="s">
        <v>452</v>
      </c>
      <c r="B5" s="286"/>
      <c r="C5" s="286"/>
      <c r="D5" s="286"/>
      <c r="E5" s="286"/>
      <c r="F5" s="286"/>
      <c r="G5" s="217"/>
    </row>
    <row r="6" spans="1:6" ht="18.75" customHeight="1">
      <c r="A6" s="251"/>
      <c r="B6" s="251"/>
      <c r="C6" s="251"/>
      <c r="D6" s="251"/>
      <c r="E6" s="251"/>
      <c r="F6" s="251"/>
    </row>
    <row r="7" spans="1:6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spans="1:6" ht="9" customHeight="1">
      <c r="A8" s="2"/>
      <c r="B8" s="24"/>
      <c r="C8" s="24"/>
      <c r="D8" s="24"/>
      <c r="E8" s="24"/>
      <c r="F8" s="76"/>
    </row>
    <row r="9" spans="1:6" ht="12.75">
      <c r="A9" s="56" t="s">
        <v>197</v>
      </c>
      <c r="B9" s="176">
        <v>324709.2</v>
      </c>
      <c r="C9" s="176">
        <v>516457.32</v>
      </c>
      <c r="D9" s="176">
        <v>552228.22</v>
      </c>
      <c r="E9" s="135">
        <f aca="true" t="shared" si="0" ref="E9:E26">SUM(B9:D9)</f>
        <v>1393394.74</v>
      </c>
      <c r="F9" s="136">
        <f aca="true" t="shared" si="1" ref="F9:F26">(E9/$E$28*100)</f>
        <v>44.46351944642371</v>
      </c>
    </row>
    <row r="10" spans="1:6" ht="12.75">
      <c r="A10" s="6" t="s">
        <v>156</v>
      </c>
      <c r="B10" s="176"/>
      <c r="C10" s="176"/>
      <c r="D10" s="176">
        <v>40000</v>
      </c>
      <c r="E10" s="135">
        <f t="shared" si="0"/>
        <v>40000</v>
      </c>
      <c r="F10" s="136">
        <f t="shared" si="1"/>
        <v>1.2764084195243541</v>
      </c>
    </row>
    <row r="11" spans="1:6" ht="12.75">
      <c r="A11" s="6" t="s">
        <v>83</v>
      </c>
      <c r="B11" s="176"/>
      <c r="C11" s="176"/>
      <c r="D11" s="176">
        <v>10000</v>
      </c>
      <c r="E11" s="135">
        <f>SUM(B11:D11)</f>
        <v>10000</v>
      </c>
      <c r="F11" s="136">
        <f t="shared" si="1"/>
        <v>0.31910210488108853</v>
      </c>
    </row>
    <row r="12" spans="1:6" ht="12.75">
      <c r="A12" s="1" t="s">
        <v>146</v>
      </c>
      <c r="B12" s="176">
        <v>20000</v>
      </c>
      <c r="C12" s="176">
        <v>10000</v>
      </c>
      <c r="D12" s="176"/>
      <c r="E12" s="135">
        <f t="shared" si="0"/>
        <v>30000</v>
      </c>
      <c r="F12" s="136">
        <f t="shared" si="1"/>
        <v>0.9573063146432655</v>
      </c>
    </row>
    <row r="13" spans="1:6" ht="12.75">
      <c r="A13" s="1" t="s">
        <v>95</v>
      </c>
      <c r="B13" s="161">
        <v>35000</v>
      </c>
      <c r="C13" s="135">
        <v>25187</v>
      </c>
      <c r="D13" s="161">
        <v>3139</v>
      </c>
      <c r="E13" s="135">
        <f t="shared" si="0"/>
        <v>63326</v>
      </c>
      <c r="F13" s="136">
        <f t="shared" si="1"/>
        <v>2.0207459893699813</v>
      </c>
    </row>
    <row r="14" spans="1:6" ht="12.75">
      <c r="A14" s="1" t="s">
        <v>393</v>
      </c>
      <c r="B14" s="161">
        <v>4745</v>
      </c>
      <c r="C14" s="135">
        <v>14300</v>
      </c>
      <c r="D14" s="161">
        <v>13450</v>
      </c>
      <c r="E14" s="135">
        <f t="shared" si="0"/>
        <v>32495</v>
      </c>
      <c r="F14" s="136">
        <f t="shared" si="1"/>
        <v>1.0369222898110972</v>
      </c>
    </row>
    <row r="15" spans="1:6" ht="12.75">
      <c r="A15" s="1" t="s">
        <v>90</v>
      </c>
      <c r="B15" s="161"/>
      <c r="C15" s="135">
        <v>6000</v>
      </c>
      <c r="D15" s="161"/>
      <c r="E15" s="135">
        <f t="shared" si="0"/>
        <v>6000</v>
      </c>
      <c r="F15" s="136">
        <f t="shared" si="1"/>
        <v>0.19146126292865312</v>
      </c>
    </row>
    <row r="16" spans="1:6" ht="12.75">
      <c r="A16" s="1" t="s">
        <v>406</v>
      </c>
      <c r="B16" s="161">
        <v>294000</v>
      </c>
      <c r="C16" s="135"/>
      <c r="D16" s="161">
        <v>140000</v>
      </c>
      <c r="E16" s="135">
        <f>SUM(B16:D16)</f>
        <v>434000</v>
      </c>
      <c r="F16" s="136">
        <f t="shared" si="1"/>
        <v>13.849031351839242</v>
      </c>
    </row>
    <row r="17" spans="1:6" ht="12.75">
      <c r="A17" s="1" t="s">
        <v>234</v>
      </c>
      <c r="B17" s="161"/>
      <c r="C17" s="135"/>
      <c r="D17" s="161">
        <v>147700</v>
      </c>
      <c r="E17" s="135">
        <f t="shared" si="0"/>
        <v>147700</v>
      </c>
      <c r="F17" s="136">
        <f t="shared" si="1"/>
        <v>4.713138089093678</v>
      </c>
    </row>
    <row r="18" spans="1:6" ht="12.75">
      <c r="A18" s="1" t="s">
        <v>193</v>
      </c>
      <c r="B18" s="161"/>
      <c r="C18" s="135"/>
      <c r="D18" s="161">
        <v>580466.1</v>
      </c>
      <c r="E18" s="135">
        <f>SUM(B18:D18)</f>
        <v>580466.1</v>
      </c>
      <c r="F18" s="136">
        <f t="shared" si="1"/>
        <v>18.52279543221164</v>
      </c>
    </row>
    <row r="19" spans="1:6" ht="12.75">
      <c r="A19" s="1" t="s">
        <v>420</v>
      </c>
      <c r="B19" s="161">
        <v>530</v>
      </c>
      <c r="C19" s="135"/>
      <c r="D19" s="161"/>
      <c r="E19" s="135">
        <f>SUM(B19:D19)</f>
        <v>530</v>
      </c>
      <c r="F19" s="136">
        <f t="shared" si="1"/>
        <v>0.01691241155869769</v>
      </c>
    </row>
    <row r="20" spans="1:6" ht="12.75">
      <c r="A20" s="1" t="s">
        <v>361</v>
      </c>
      <c r="B20" s="161">
        <v>111448</v>
      </c>
      <c r="C20" s="135"/>
      <c r="D20" s="161"/>
      <c r="E20" s="135">
        <f t="shared" si="0"/>
        <v>111448</v>
      </c>
      <c r="F20" s="136">
        <f t="shared" si="1"/>
        <v>3.5563291384787554</v>
      </c>
    </row>
    <row r="21" spans="1:6" ht="12.75">
      <c r="A21" s="1" t="s">
        <v>392</v>
      </c>
      <c r="B21" s="161">
        <v>38200</v>
      </c>
      <c r="C21" s="135"/>
      <c r="D21" s="161"/>
      <c r="E21" s="135">
        <f t="shared" si="0"/>
        <v>38200</v>
      </c>
      <c r="F21" s="136">
        <f t="shared" si="1"/>
        <v>1.2189700406457582</v>
      </c>
    </row>
    <row r="22" spans="1:6" ht="12.75">
      <c r="A22" s="1" t="s">
        <v>469</v>
      </c>
      <c r="B22" s="161">
        <v>20000</v>
      </c>
      <c r="C22" s="135"/>
      <c r="D22" s="161"/>
      <c r="E22" s="135">
        <f>SUM(B22:D22)</f>
        <v>20000</v>
      </c>
      <c r="F22" s="136">
        <f t="shared" si="1"/>
        <v>0.6382042097621771</v>
      </c>
    </row>
    <row r="23" spans="1:6" ht="12.75">
      <c r="A23" s="1" t="s">
        <v>235</v>
      </c>
      <c r="B23" s="161"/>
      <c r="C23" s="135">
        <v>14000</v>
      </c>
      <c r="D23" s="161"/>
      <c r="E23" s="135">
        <f t="shared" si="0"/>
        <v>14000</v>
      </c>
      <c r="F23" s="136">
        <f t="shared" si="1"/>
        <v>0.44674294683352395</v>
      </c>
    </row>
    <row r="24" spans="1:6" ht="12.75">
      <c r="A24" s="1" t="s">
        <v>141</v>
      </c>
      <c r="B24" s="161"/>
      <c r="C24" s="135"/>
      <c r="D24" s="161">
        <v>6900</v>
      </c>
      <c r="E24" s="135">
        <f>SUM(B24:D24)</f>
        <v>6900</v>
      </c>
      <c r="F24" s="136">
        <f t="shared" si="1"/>
        <v>0.22018045236795106</v>
      </c>
    </row>
    <row r="25" spans="1:6" ht="12.75">
      <c r="A25" s="1" t="s">
        <v>96</v>
      </c>
      <c r="B25" s="161"/>
      <c r="C25" s="135">
        <v>72000</v>
      </c>
      <c r="D25" s="161"/>
      <c r="E25" s="135">
        <f>SUM(B25:D25)</f>
        <v>72000</v>
      </c>
      <c r="F25" s="136">
        <f t="shared" si="1"/>
        <v>2.2975351551438377</v>
      </c>
    </row>
    <row r="26" spans="1:6" ht="12.75">
      <c r="A26" s="1" t="s">
        <v>400</v>
      </c>
      <c r="B26" s="161"/>
      <c r="C26" s="135">
        <v>133333.34</v>
      </c>
      <c r="D26" s="161"/>
      <c r="E26" s="135">
        <f t="shared" si="0"/>
        <v>133333.34</v>
      </c>
      <c r="F26" s="136">
        <f t="shared" si="1"/>
        <v>4.2546949444825835</v>
      </c>
    </row>
    <row r="27" spans="2:6" ht="9" customHeight="1">
      <c r="B27" s="176"/>
      <c r="C27" s="176"/>
      <c r="D27" s="176"/>
      <c r="E27" s="135"/>
      <c r="F27" s="136"/>
    </row>
    <row r="28" spans="1:7" ht="13.5" thickBot="1">
      <c r="A28" s="4" t="s">
        <v>111</v>
      </c>
      <c r="B28" s="182">
        <f>SUM(B9:B27)</f>
        <v>848632.2</v>
      </c>
      <c r="C28" s="182">
        <f>SUM(C9:C27)</f>
        <v>791277.66</v>
      </c>
      <c r="D28" s="182">
        <f>SUM(D9:D27)</f>
        <v>1493883.3199999998</v>
      </c>
      <c r="E28" s="182">
        <f>SUM(E9:E27)</f>
        <v>3133793.18</v>
      </c>
      <c r="F28" s="182">
        <f>SUM(F9:F27)</f>
        <v>99.99999999999999</v>
      </c>
      <c r="G28" s="77"/>
    </row>
    <row r="29" spans="2:6" ht="13.5" thickTop="1">
      <c r="B29" s="103"/>
      <c r="C29" s="103"/>
      <c r="D29" s="103"/>
      <c r="E29" s="103"/>
      <c r="F29" s="103"/>
    </row>
    <row r="30" ht="12.75">
      <c r="D30" s="25"/>
    </row>
    <row r="31" ht="12.75">
      <c r="D31" s="25"/>
    </row>
    <row r="52" ht="12.75">
      <c r="A52" s="8"/>
    </row>
    <row r="53" ht="12.75">
      <c r="A53" s="8"/>
    </row>
    <row r="54" spans="1:7" ht="12.75">
      <c r="A54" s="19"/>
      <c r="B54" s="85"/>
      <c r="C54" s="85"/>
      <c r="D54" s="85"/>
      <c r="E54" s="85"/>
      <c r="F54" s="85"/>
      <c r="G54" s="85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7874015748031497" bottom="0.7086614173228347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J9" sqref="J9"/>
    </sheetView>
  </sheetViews>
  <sheetFormatPr defaultColWidth="11.421875" defaultRowHeight="12.75"/>
  <cols>
    <col min="1" max="1" width="36.421875" style="1" customWidth="1"/>
    <col min="2" max="5" width="11.7109375" style="23" customWidth="1"/>
    <col min="6" max="6" width="6.57421875" style="1" customWidth="1"/>
    <col min="7" max="16384" width="11.421875" style="1" customWidth="1"/>
  </cols>
  <sheetData>
    <row r="1" spans="1:6" ht="12.75" customHeight="1">
      <c r="A1" s="248"/>
      <c r="B1" s="249"/>
      <c r="C1" s="249"/>
      <c r="D1" s="249"/>
      <c r="E1" s="287" t="s">
        <v>135</v>
      </c>
      <c r="F1" s="287"/>
    </row>
    <row r="2" spans="1:6" ht="12.75" customHeight="1">
      <c r="A2" s="286" t="s">
        <v>309</v>
      </c>
      <c r="B2" s="286"/>
      <c r="C2" s="286"/>
      <c r="D2" s="286"/>
      <c r="E2" s="286"/>
      <c r="F2" s="286"/>
    </row>
    <row r="3" spans="1:6" ht="12.75" customHeight="1">
      <c r="A3" s="286" t="s">
        <v>524</v>
      </c>
      <c r="B3" s="286"/>
      <c r="C3" s="286"/>
      <c r="D3" s="286"/>
      <c r="E3" s="286"/>
      <c r="F3" s="286"/>
    </row>
    <row r="4" spans="1:6" ht="12.75" customHeight="1">
      <c r="A4" s="286" t="s">
        <v>323</v>
      </c>
      <c r="B4" s="286"/>
      <c r="C4" s="286"/>
      <c r="D4" s="286"/>
      <c r="E4" s="286"/>
      <c r="F4" s="286"/>
    </row>
    <row r="5" spans="1:7" ht="12.75" customHeight="1">
      <c r="A5" s="286" t="s">
        <v>452</v>
      </c>
      <c r="B5" s="286"/>
      <c r="C5" s="286"/>
      <c r="D5" s="286"/>
      <c r="E5" s="286"/>
      <c r="F5" s="286"/>
      <c r="G5" s="217"/>
    </row>
    <row r="6" spans="1:6" ht="18.75" customHeight="1">
      <c r="A6" s="17"/>
      <c r="B6" s="17"/>
      <c r="C6" s="17"/>
      <c r="D6" s="17"/>
      <c r="E6" s="17"/>
      <c r="F6" s="17"/>
    </row>
    <row r="7" spans="1:6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spans="2:6" ht="9" customHeight="1">
      <c r="B8" s="24"/>
      <c r="C8" s="24"/>
      <c r="D8" s="24"/>
      <c r="E8" s="24"/>
      <c r="F8" s="2"/>
    </row>
    <row r="9" spans="1:6" ht="15" customHeight="1">
      <c r="A9" s="1" t="s">
        <v>94</v>
      </c>
      <c r="B9" s="183">
        <v>1373494.39</v>
      </c>
      <c r="C9" s="183">
        <f>876351.39-13214.43-6600.01</f>
        <v>856536.95</v>
      </c>
      <c r="D9" s="176">
        <v>930753.37</v>
      </c>
      <c r="E9" s="176">
        <f>SUM(B9:D9)</f>
        <v>3160784.71</v>
      </c>
      <c r="F9" s="136">
        <f>(E9/$E$13*100)</f>
        <v>11.501983835983198</v>
      </c>
    </row>
    <row r="10" spans="1:6" ht="15.75" customHeight="1">
      <c r="A10" s="1" t="s">
        <v>192</v>
      </c>
      <c r="B10" s="176">
        <v>158830.15</v>
      </c>
      <c r="C10" s="183">
        <v>8437934.56</v>
      </c>
      <c r="D10" s="176">
        <v>7187326.73</v>
      </c>
      <c r="E10" s="176">
        <f>SUM(B10:D10)</f>
        <v>15784091.440000001</v>
      </c>
      <c r="F10" s="136">
        <f>(E10/$E$13*100)</f>
        <v>57.43775083262814</v>
      </c>
    </row>
    <row r="11" spans="1:6" ht="15.75" customHeight="1">
      <c r="A11" s="1" t="s">
        <v>139</v>
      </c>
      <c r="B11" s="176">
        <v>6794467.72</v>
      </c>
      <c r="C11" s="183"/>
      <c r="D11" s="176">
        <v>1741000</v>
      </c>
      <c r="E11" s="176">
        <f>SUM(B11:D11)</f>
        <v>8535467.719999999</v>
      </c>
      <c r="F11" s="136">
        <f>(E11/$E$13*100)</f>
        <v>31.06026533138866</v>
      </c>
    </row>
    <row r="12" spans="2:6" ht="9" customHeight="1">
      <c r="B12" s="176"/>
      <c r="C12" s="176"/>
      <c r="D12" s="135"/>
      <c r="E12" s="176"/>
      <c r="F12" s="136"/>
    </row>
    <row r="13" spans="1:6" ht="14.25" customHeight="1" thickBot="1">
      <c r="A13" s="4" t="s">
        <v>111</v>
      </c>
      <c r="B13" s="151">
        <f>SUM(B9:B11)</f>
        <v>8326792.26</v>
      </c>
      <c r="C13" s="151">
        <f>SUM(C9:C11)</f>
        <v>9294471.51</v>
      </c>
      <c r="D13" s="151">
        <f>SUM(D9:D11)</f>
        <v>9859080.100000001</v>
      </c>
      <c r="E13" s="151">
        <f>SUM(E9:E11)</f>
        <v>27480343.87</v>
      </c>
      <c r="F13" s="151">
        <f>SUM(F9:F11)</f>
        <v>100</v>
      </c>
    </row>
    <row r="14" ht="13.5" thickTop="1"/>
  </sheetData>
  <mergeCells count="5">
    <mergeCell ref="A5:F5"/>
    <mergeCell ref="E1:F1"/>
    <mergeCell ref="A2:F2"/>
    <mergeCell ref="A3:F3"/>
    <mergeCell ref="A4:F4"/>
  </mergeCells>
  <printOptions/>
  <pageMargins left="0.9448818897637796" right="0.5905511811023623" top="0.7874015748031497" bottom="0.984251968503937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1"/>
  <sheetViews>
    <sheetView zoomScaleSheetLayoutView="75" workbookViewId="0" topLeftCell="A1">
      <selection activeCell="N6" sqref="N6"/>
    </sheetView>
  </sheetViews>
  <sheetFormatPr defaultColWidth="11.421875" defaultRowHeight="12.75"/>
  <cols>
    <col min="1" max="1" width="45.00390625" style="0" customWidth="1"/>
    <col min="2" max="2" width="16.421875" style="0" customWidth="1"/>
    <col min="3" max="3" width="11.7109375" style="0" customWidth="1"/>
    <col min="4" max="4" width="13.57421875" style="0" customWidth="1"/>
    <col min="5" max="5" width="2.8515625" style="0" customWidth="1"/>
  </cols>
  <sheetData>
    <row r="1" spans="1:5" ht="12.75">
      <c r="A1" s="248"/>
      <c r="B1" s="248"/>
      <c r="C1" s="252"/>
      <c r="D1" s="253" t="s">
        <v>18</v>
      </c>
      <c r="E1" s="1"/>
    </row>
    <row r="2" spans="1:5" ht="12.75">
      <c r="A2" s="286" t="s">
        <v>309</v>
      </c>
      <c r="B2" s="286"/>
      <c r="C2" s="286"/>
      <c r="D2" s="286"/>
      <c r="E2" s="1"/>
    </row>
    <row r="3" spans="1:5" ht="12.75">
      <c r="A3" s="286" t="s">
        <v>524</v>
      </c>
      <c r="B3" s="286"/>
      <c r="C3" s="286"/>
      <c r="D3" s="286"/>
      <c r="E3" s="1"/>
    </row>
    <row r="4" spans="1:5" ht="12.75">
      <c r="A4" s="286" t="s">
        <v>451</v>
      </c>
      <c r="B4" s="286"/>
      <c r="C4" s="286"/>
      <c r="D4" s="286"/>
      <c r="E4" s="1"/>
    </row>
    <row r="5" spans="1:5" ht="18.75" customHeight="1">
      <c r="A5" s="17"/>
      <c r="B5" s="17"/>
      <c r="C5" s="97"/>
      <c r="D5" s="30"/>
      <c r="E5" s="1"/>
    </row>
    <row r="6" spans="1:5" ht="26.25" customHeight="1">
      <c r="A6" s="246" t="s">
        <v>185</v>
      </c>
      <c r="B6" s="246" t="s">
        <v>136</v>
      </c>
      <c r="C6" s="246" t="s">
        <v>110</v>
      </c>
      <c r="D6" s="250" t="s">
        <v>20</v>
      </c>
      <c r="E6" s="1"/>
    </row>
    <row r="7" spans="1:5" ht="9" customHeight="1">
      <c r="A7" s="2"/>
      <c r="B7" s="2"/>
      <c r="C7" s="2"/>
      <c r="D7" s="24"/>
      <c r="E7" s="1"/>
    </row>
    <row r="8" spans="1:5" ht="12.75">
      <c r="A8" s="78" t="s">
        <v>256</v>
      </c>
      <c r="B8" s="7"/>
      <c r="C8" s="79"/>
      <c r="D8" s="24"/>
      <c r="E8" s="1"/>
    </row>
    <row r="9" spans="1:5" ht="12.75">
      <c r="A9" s="78"/>
      <c r="B9" s="7"/>
      <c r="C9" s="79"/>
      <c r="D9" s="24"/>
      <c r="E9" s="1"/>
    </row>
    <row r="10" spans="1:5" ht="12.75">
      <c r="A10" s="56" t="s">
        <v>229</v>
      </c>
      <c r="B10" s="7"/>
      <c r="C10" s="79"/>
      <c r="D10" s="160">
        <v>151135</v>
      </c>
      <c r="E10" s="1"/>
    </row>
    <row r="11" spans="1:5" ht="12.75">
      <c r="A11" s="7" t="s">
        <v>166</v>
      </c>
      <c r="B11" s="7" t="s">
        <v>198</v>
      </c>
      <c r="C11" s="79">
        <v>65500611576</v>
      </c>
      <c r="D11" s="160">
        <v>-51130</v>
      </c>
      <c r="E11" s="12" t="s">
        <v>23</v>
      </c>
    </row>
    <row r="12" spans="1:5" ht="12.75">
      <c r="A12" s="7" t="s">
        <v>112</v>
      </c>
      <c r="B12" s="7" t="s">
        <v>198</v>
      </c>
      <c r="C12" s="79">
        <v>65500611562</v>
      </c>
      <c r="D12" s="160">
        <v>218430.83</v>
      </c>
      <c r="E12" s="12" t="s">
        <v>24</v>
      </c>
    </row>
    <row r="13" spans="1:5" ht="12.75">
      <c r="A13" s="7" t="s">
        <v>223</v>
      </c>
      <c r="B13" s="7" t="s">
        <v>198</v>
      </c>
      <c r="C13" s="79">
        <v>65501752447</v>
      </c>
      <c r="D13" s="160">
        <v>346.76</v>
      </c>
      <c r="E13" s="1"/>
    </row>
    <row r="14" spans="1:5" ht="12.75">
      <c r="A14" s="6" t="s">
        <v>203</v>
      </c>
      <c r="B14" s="7" t="s">
        <v>198</v>
      </c>
      <c r="C14" s="79">
        <v>65501752416</v>
      </c>
      <c r="D14" s="160">
        <v>-1381694.5</v>
      </c>
      <c r="E14" s="12" t="s">
        <v>27</v>
      </c>
    </row>
    <row r="15" spans="1:5" ht="12.75">
      <c r="A15" s="6" t="s">
        <v>166</v>
      </c>
      <c r="B15" s="7" t="s">
        <v>198</v>
      </c>
      <c r="C15" s="79">
        <v>65501752433</v>
      </c>
      <c r="D15" s="160">
        <v>-2344794.98</v>
      </c>
      <c r="E15" s="12" t="s">
        <v>27</v>
      </c>
    </row>
    <row r="16" spans="1:4" ht="12.75">
      <c r="A16" s="7" t="s">
        <v>224</v>
      </c>
      <c r="B16" s="7" t="s">
        <v>198</v>
      </c>
      <c r="C16" s="79">
        <v>65501761036</v>
      </c>
      <c r="D16" s="160">
        <v>1539359.22</v>
      </c>
    </row>
    <row r="17" spans="1:5" ht="12.75">
      <c r="A17" s="7" t="s">
        <v>282</v>
      </c>
      <c r="B17" s="7" t="s">
        <v>198</v>
      </c>
      <c r="C17" s="79">
        <v>65501790364</v>
      </c>
      <c r="D17" s="160">
        <v>748023.7</v>
      </c>
      <c r="E17" s="1"/>
    </row>
    <row r="18" spans="1:5" ht="12.75">
      <c r="A18" s="6" t="s">
        <v>170</v>
      </c>
      <c r="B18" s="7" t="s">
        <v>199</v>
      </c>
      <c r="C18" s="79" t="s">
        <v>115</v>
      </c>
      <c r="D18" s="160">
        <v>291767.65</v>
      </c>
      <c r="E18" s="1"/>
    </row>
    <row r="19" spans="1:5" ht="12.75">
      <c r="A19" s="6" t="s">
        <v>170</v>
      </c>
      <c r="B19" s="7" t="s">
        <v>199</v>
      </c>
      <c r="C19" s="79">
        <v>162537494</v>
      </c>
      <c r="D19" s="160">
        <v>627940.73</v>
      </c>
      <c r="E19" s="1"/>
    </row>
    <row r="20" spans="1:5" ht="12.75">
      <c r="A20" s="6" t="s">
        <v>284</v>
      </c>
      <c r="B20" s="7" t="s">
        <v>200</v>
      </c>
      <c r="C20" s="79">
        <v>4031053267</v>
      </c>
      <c r="D20" s="160">
        <v>9993.11</v>
      </c>
      <c r="E20" s="1"/>
    </row>
    <row r="21" spans="1:5" ht="12.75">
      <c r="A21" s="6" t="s">
        <v>166</v>
      </c>
      <c r="B21" s="7" t="s">
        <v>198</v>
      </c>
      <c r="C21" s="79">
        <v>51908075257</v>
      </c>
      <c r="D21" s="160">
        <v>-2926.34</v>
      </c>
      <c r="E21" s="12" t="s">
        <v>24</v>
      </c>
    </row>
    <row r="22" spans="1:5" ht="12.75">
      <c r="A22" s="6" t="s">
        <v>166</v>
      </c>
      <c r="B22" s="7" t="s">
        <v>126</v>
      </c>
      <c r="C22" s="80" t="s">
        <v>149</v>
      </c>
      <c r="D22" s="160">
        <v>-134767</v>
      </c>
      <c r="E22" s="12" t="s">
        <v>23</v>
      </c>
    </row>
    <row r="23" spans="1:4" ht="12.75">
      <c r="A23" s="6" t="s">
        <v>204</v>
      </c>
      <c r="B23" s="7" t="s">
        <v>126</v>
      </c>
      <c r="C23" s="80" t="s">
        <v>206</v>
      </c>
      <c r="D23" s="160">
        <v>23537397.79</v>
      </c>
    </row>
    <row r="24" spans="1:5" ht="12.75">
      <c r="A24" s="6" t="s">
        <v>204</v>
      </c>
      <c r="B24" s="7" t="s">
        <v>126</v>
      </c>
      <c r="C24" s="80" t="s">
        <v>222</v>
      </c>
      <c r="D24" s="160">
        <v>-690572.93</v>
      </c>
      <c r="E24" s="12" t="s">
        <v>27</v>
      </c>
    </row>
    <row r="25" spans="1:5" ht="12.75">
      <c r="A25" s="6" t="s">
        <v>204</v>
      </c>
      <c r="B25" s="7" t="s">
        <v>126</v>
      </c>
      <c r="C25" s="80" t="s">
        <v>413</v>
      </c>
      <c r="D25" s="160">
        <v>2197402.68</v>
      </c>
      <c r="E25" s="12"/>
    </row>
    <row r="26" spans="1:5" ht="12.75">
      <c r="A26" s="6" t="s">
        <v>203</v>
      </c>
      <c r="B26" s="7" t="s">
        <v>126</v>
      </c>
      <c r="C26" s="80" t="s">
        <v>414</v>
      </c>
      <c r="D26" s="160">
        <v>2411269.25</v>
      </c>
      <c r="E26" s="12"/>
    </row>
    <row r="27" spans="1:5" ht="12.75">
      <c r="A27" s="6" t="s">
        <v>293</v>
      </c>
      <c r="B27" s="7" t="s">
        <v>198</v>
      </c>
      <c r="C27" s="79">
        <v>65501896472</v>
      </c>
      <c r="D27" s="160">
        <v>138458.46</v>
      </c>
      <c r="E27" s="1"/>
    </row>
    <row r="28" spans="1:5" ht="12.75">
      <c r="A28" s="7" t="s">
        <v>298</v>
      </c>
      <c r="B28" s="7" t="s">
        <v>198</v>
      </c>
      <c r="C28" s="79">
        <v>65501928095</v>
      </c>
      <c r="D28" s="160">
        <v>594693.17</v>
      </c>
      <c r="E28" s="1"/>
    </row>
    <row r="29" spans="1:5" ht="12.75">
      <c r="A29" s="7" t="s">
        <v>373</v>
      </c>
      <c r="B29" s="7" t="s">
        <v>198</v>
      </c>
      <c r="C29" s="79">
        <v>65502360378</v>
      </c>
      <c r="D29" s="160">
        <v>741041.31</v>
      </c>
      <c r="E29" s="12"/>
    </row>
    <row r="30" spans="1:5" ht="12.75">
      <c r="A30" s="6" t="s">
        <v>203</v>
      </c>
      <c r="B30" s="7" t="s">
        <v>198</v>
      </c>
      <c r="C30" s="79">
        <v>65502468962</v>
      </c>
      <c r="D30" s="160">
        <v>51892850.4</v>
      </c>
      <c r="E30" s="12"/>
    </row>
    <row r="31" spans="1:5" ht="12.75">
      <c r="A31" s="6" t="s">
        <v>166</v>
      </c>
      <c r="B31" s="7" t="s">
        <v>198</v>
      </c>
      <c r="C31" s="79">
        <v>65502468993</v>
      </c>
      <c r="D31" s="160">
        <v>-2173177.29</v>
      </c>
      <c r="E31" s="12" t="s">
        <v>27</v>
      </c>
    </row>
    <row r="32" spans="2:5" ht="9" customHeight="1">
      <c r="B32" s="1"/>
      <c r="C32" s="3"/>
      <c r="D32" s="104"/>
      <c r="E32" s="1"/>
    </row>
    <row r="33" spans="1:5" ht="12.75">
      <c r="A33" s="4" t="s">
        <v>150</v>
      </c>
      <c r="B33" s="1"/>
      <c r="C33" s="3"/>
      <c r="D33" s="163">
        <f>SUM(D10:D32)</f>
        <v>78321047.02</v>
      </c>
      <c r="E33" s="1"/>
    </row>
    <row r="34" spans="1:5" ht="12.75">
      <c r="A34" s="1"/>
      <c r="B34" s="1"/>
      <c r="C34" s="3"/>
      <c r="D34" s="103"/>
      <c r="E34" s="1"/>
    </row>
    <row r="35" spans="1:5" ht="12.75">
      <c r="A35" s="8" t="s">
        <v>184</v>
      </c>
      <c r="B35" s="1"/>
      <c r="C35" s="3"/>
      <c r="D35" s="103"/>
      <c r="E35" s="1"/>
    </row>
    <row r="36" spans="1:5" ht="12.75">
      <c r="A36" s="1"/>
      <c r="B36" s="1"/>
      <c r="C36" s="3"/>
      <c r="D36" s="103"/>
      <c r="E36" s="1"/>
    </row>
    <row r="37" spans="1:5" ht="12.75">
      <c r="A37" s="7" t="s">
        <v>171</v>
      </c>
      <c r="B37" s="7" t="s">
        <v>198</v>
      </c>
      <c r="C37" s="80" t="s">
        <v>259</v>
      </c>
      <c r="D37" s="160">
        <v>38916258.32</v>
      </c>
      <c r="E37" s="1"/>
    </row>
    <row r="38" spans="1:5" ht="12.75">
      <c r="A38" s="7" t="s">
        <v>349</v>
      </c>
      <c r="B38" s="7" t="s">
        <v>198</v>
      </c>
      <c r="C38" s="79">
        <v>66501928095</v>
      </c>
      <c r="D38" s="160">
        <v>644.76</v>
      </c>
      <c r="E38" s="1"/>
    </row>
    <row r="39" spans="1:5" ht="12.75">
      <c r="A39" s="7" t="s">
        <v>344</v>
      </c>
      <c r="B39" s="7" t="s">
        <v>343</v>
      </c>
      <c r="C39" s="80" t="s">
        <v>345</v>
      </c>
      <c r="D39" s="160">
        <v>4159859.32</v>
      </c>
      <c r="E39" s="1"/>
    </row>
    <row r="40" spans="1:5" ht="9" customHeight="1">
      <c r="A40" s="1"/>
      <c r="B40" s="1"/>
      <c r="C40" s="3"/>
      <c r="D40" s="103"/>
      <c r="E40" s="1"/>
    </row>
    <row r="41" spans="1:5" ht="12.75">
      <c r="A41" s="4" t="s">
        <v>173</v>
      </c>
      <c r="B41" s="1"/>
      <c r="C41" s="3"/>
      <c r="D41" s="180">
        <f>SUM(D37:D40)</f>
        <v>43076762.4</v>
      </c>
      <c r="E41" s="1"/>
    </row>
    <row r="42" spans="1:5" ht="12.75">
      <c r="A42" s="1"/>
      <c r="B42" s="1"/>
      <c r="C42" s="3"/>
      <c r="E42" s="1"/>
    </row>
    <row r="43" spans="1:4" ht="12.75">
      <c r="A43" s="8" t="s">
        <v>174</v>
      </c>
      <c r="B43" s="1"/>
      <c r="C43" s="3"/>
      <c r="D43" s="23"/>
    </row>
    <row r="44" spans="1:5" ht="12.75">
      <c r="A44" s="1"/>
      <c r="B44" s="1"/>
      <c r="C44" s="3"/>
      <c r="D44" s="103"/>
      <c r="E44" s="1"/>
    </row>
    <row r="45" spans="1:5" ht="12.75">
      <c r="A45" s="6" t="s">
        <v>172</v>
      </c>
      <c r="B45" s="7" t="s">
        <v>198</v>
      </c>
      <c r="C45" s="79" t="s">
        <v>113</v>
      </c>
      <c r="D45" s="160">
        <v>18311.69</v>
      </c>
      <c r="E45" s="12" t="s">
        <v>257</v>
      </c>
    </row>
    <row r="46" spans="1:5" ht="12.75">
      <c r="A46" s="6" t="s">
        <v>175</v>
      </c>
      <c r="B46" s="7" t="s">
        <v>198</v>
      </c>
      <c r="C46" s="79" t="s">
        <v>114</v>
      </c>
      <c r="D46" s="160">
        <v>905061.56</v>
      </c>
      <c r="E46" s="12" t="s">
        <v>258</v>
      </c>
    </row>
    <row r="47" spans="1:4" ht="12.75">
      <c r="A47" s="7" t="s">
        <v>117</v>
      </c>
      <c r="B47" s="7" t="s">
        <v>198</v>
      </c>
      <c r="C47" s="79" t="s">
        <v>118</v>
      </c>
      <c r="D47" s="160">
        <v>21457052.33</v>
      </c>
    </row>
    <row r="48" spans="1:5" ht="12.75">
      <c r="A48" s="7" t="s">
        <v>88</v>
      </c>
      <c r="B48" s="7" t="s">
        <v>201</v>
      </c>
      <c r="C48" s="79" t="s">
        <v>116</v>
      </c>
      <c r="D48" s="160">
        <v>2067.5</v>
      </c>
      <c r="E48" s="1"/>
    </row>
    <row r="49" spans="1:5" ht="12.75">
      <c r="A49" s="7" t="s">
        <v>167</v>
      </c>
      <c r="B49" s="7" t="s">
        <v>202</v>
      </c>
      <c r="C49" s="79" t="s">
        <v>119</v>
      </c>
      <c r="D49" s="160">
        <v>2388949.01</v>
      </c>
      <c r="E49" s="1"/>
    </row>
    <row r="50" spans="1:5" ht="12.75">
      <c r="A50" s="7" t="s">
        <v>340</v>
      </c>
      <c r="B50" s="7" t="s">
        <v>198</v>
      </c>
      <c r="C50" s="79" t="s">
        <v>339</v>
      </c>
      <c r="D50" s="160">
        <v>9772</v>
      </c>
      <c r="E50" s="1"/>
    </row>
    <row r="51" spans="1:4" ht="12.75">
      <c r="A51" s="7" t="s">
        <v>283</v>
      </c>
      <c r="B51" s="7" t="s">
        <v>198</v>
      </c>
      <c r="C51" s="79" t="s">
        <v>285</v>
      </c>
      <c r="D51" s="160">
        <v>916.13</v>
      </c>
    </row>
    <row r="52" spans="1:5" ht="12.75">
      <c r="A52" s="7" t="s">
        <v>250</v>
      </c>
      <c r="B52" s="7" t="s">
        <v>198</v>
      </c>
      <c r="C52" s="79">
        <v>82500274581</v>
      </c>
      <c r="D52" s="160">
        <v>1229436.6</v>
      </c>
      <c r="E52" s="12" t="s">
        <v>371</v>
      </c>
    </row>
    <row r="53" spans="1:5" ht="12.75">
      <c r="A53" s="7" t="s">
        <v>252</v>
      </c>
      <c r="B53" s="7" t="s">
        <v>198</v>
      </c>
      <c r="C53" s="79" t="s">
        <v>251</v>
      </c>
      <c r="D53" s="160">
        <v>1675856.85</v>
      </c>
      <c r="E53" s="1"/>
    </row>
    <row r="54" spans="1:5" ht="12.75">
      <c r="A54" s="7" t="s">
        <v>289</v>
      </c>
      <c r="B54" s="7" t="s">
        <v>198</v>
      </c>
      <c r="C54" s="79" t="s">
        <v>290</v>
      </c>
      <c r="D54" s="160">
        <v>37247810.79</v>
      </c>
      <c r="E54" s="1"/>
    </row>
    <row r="55" spans="1:5" ht="12.75">
      <c r="A55" s="7" t="s">
        <v>288</v>
      </c>
      <c r="B55" s="7" t="s">
        <v>198</v>
      </c>
      <c r="C55" s="79" t="s">
        <v>291</v>
      </c>
      <c r="D55" s="160">
        <v>2829024.22</v>
      </c>
      <c r="E55" s="1"/>
    </row>
    <row r="56" spans="1:5" ht="12.75">
      <c r="A56" s="7" t="s">
        <v>368</v>
      </c>
      <c r="B56" s="7" t="s">
        <v>198</v>
      </c>
      <c r="C56" s="79" t="s">
        <v>370</v>
      </c>
      <c r="D56" s="160">
        <v>603128.48</v>
      </c>
      <c r="E56" s="1"/>
    </row>
    <row r="57" spans="1:5" ht="12.75">
      <c r="A57" s="7" t="s">
        <v>357</v>
      </c>
      <c r="B57" s="7" t="s">
        <v>198</v>
      </c>
      <c r="C57" s="79" t="s">
        <v>358</v>
      </c>
      <c r="D57" s="160">
        <v>72465580.87</v>
      </c>
      <c r="E57" s="1"/>
    </row>
    <row r="58" spans="1:5" ht="12.75">
      <c r="A58" s="7" t="s">
        <v>369</v>
      </c>
      <c r="B58" s="7" t="s">
        <v>198</v>
      </c>
      <c r="C58" s="79" t="s">
        <v>363</v>
      </c>
      <c r="D58" s="160">
        <v>28024230.33</v>
      </c>
      <c r="E58" s="1"/>
    </row>
    <row r="59" spans="1:5" ht="12.75">
      <c r="A59" s="7" t="s">
        <v>436</v>
      </c>
      <c r="B59" s="7" t="s">
        <v>198</v>
      </c>
      <c r="C59" s="79" t="s">
        <v>437</v>
      </c>
      <c r="D59" s="160">
        <v>676875.81</v>
      </c>
      <c r="E59" s="1"/>
    </row>
    <row r="60" spans="1:5" ht="9" customHeight="1">
      <c r="A60" s="1"/>
      <c r="B60" s="1"/>
      <c r="C60" s="1"/>
      <c r="D60" s="103"/>
      <c r="E60" s="1"/>
    </row>
    <row r="61" spans="1:5" ht="12.75">
      <c r="A61" s="8" t="s">
        <v>176</v>
      </c>
      <c r="B61" s="1"/>
      <c r="C61" s="3"/>
      <c r="D61" s="180">
        <f>SUM(D45:D60)</f>
        <v>169534074.17000002</v>
      </c>
      <c r="E61" s="1"/>
    </row>
    <row r="62" spans="1:5" ht="9" customHeight="1">
      <c r="A62" s="4"/>
      <c r="B62" s="4"/>
      <c r="C62" s="79"/>
      <c r="D62" s="184"/>
      <c r="E62" s="1"/>
    </row>
    <row r="63" spans="1:5" ht="13.5" thickBot="1">
      <c r="A63" s="4" t="s">
        <v>120</v>
      </c>
      <c r="B63" s="7"/>
      <c r="C63" s="10" t="s">
        <v>121</v>
      </c>
      <c r="D63" s="173">
        <f>SUM(D33+D41+D61)</f>
        <v>290931883.59000003</v>
      </c>
      <c r="E63" s="1"/>
    </row>
    <row r="64" ht="13.5" thickTop="1">
      <c r="A64" s="8" t="s">
        <v>29</v>
      </c>
    </row>
    <row r="65" ht="12.75">
      <c r="A65" s="19" t="s">
        <v>415</v>
      </c>
    </row>
    <row r="66" ht="12.75">
      <c r="A66" s="19" t="s">
        <v>294</v>
      </c>
    </row>
    <row r="67" ht="12.75">
      <c r="A67" s="19" t="s">
        <v>447</v>
      </c>
    </row>
    <row r="68" ht="12.75">
      <c r="A68" s="58" t="s">
        <v>386</v>
      </c>
    </row>
    <row r="69" ht="12.75">
      <c r="A69" s="19" t="s">
        <v>448</v>
      </c>
    </row>
    <row r="70" ht="12.75">
      <c r="A70" s="19" t="s">
        <v>449</v>
      </c>
    </row>
    <row r="71" ht="12.75">
      <c r="A71" s="19" t="s">
        <v>450</v>
      </c>
    </row>
    <row r="72" ht="12.75">
      <c r="A72" s="19"/>
    </row>
    <row r="73" ht="12.75">
      <c r="A73" s="84" t="s">
        <v>379</v>
      </c>
    </row>
    <row r="74" ht="12.75">
      <c r="A74" s="215"/>
    </row>
    <row r="75" spans="1:4" ht="12.75">
      <c r="A75" s="216" t="s">
        <v>376</v>
      </c>
      <c r="B75" s="7" t="s">
        <v>199</v>
      </c>
      <c r="C75" s="80" t="s">
        <v>375</v>
      </c>
      <c r="D75" s="160">
        <v>182816679.47</v>
      </c>
    </row>
    <row r="76" spans="1:4" ht="12.75">
      <c r="A76" s="84" t="s">
        <v>387</v>
      </c>
      <c r="B76" s="7" t="s">
        <v>199</v>
      </c>
      <c r="C76" s="80" t="s">
        <v>375</v>
      </c>
      <c r="D76" s="206">
        <v>37231.15</v>
      </c>
    </row>
    <row r="77" spans="1:4" ht="13.5" thickBot="1">
      <c r="A77" s="215"/>
      <c r="D77" s="255">
        <f>SUM(D75:D76)</f>
        <v>182853910.62</v>
      </c>
    </row>
    <row r="78" spans="1:4" ht="13.5" thickTop="1">
      <c r="A78" s="216" t="s">
        <v>380</v>
      </c>
      <c r="B78" s="207">
        <v>174862627.82</v>
      </c>
      <c r="D78" s="256"/>
    </row>
    <row r="79" spans="1:4" ht="12.75">
      <c r="A79" s="216" t="s">
        <v>381</v>
      </c>
      <c r="B79" s="207">
        <v>8763604.53</v>
      </c>
      <c r="D79" s="256"/>
    </row>
    <row r="80" spans="1:4" ht="13.5" thickBot="1">
      <c r="A80" s="216" t="s">
        <v>382</v>
      </c>
      <c r="B80" s="221">
        <v>-772321.73</v>
      </c>
      <c r="C80" s="208"/>
      <c r="D80" s="257">
        <f>SUM(B78:B81)</f>
        <v>182853910.62</v>
      </c>
    </row>
    <row r="81" spans="1:3" ht="13.5" thickTop="1">
      <c r="A81" s="215"/>
      <c r="B81" s="220"/>
      <c r="C81" s="218"/>
    </row>
  </sheetData>
  <mergeCells count="3">
    <mergeCell ref="A2:D2"/>
    <mergeCell ref="A3:D3"/>
    <mergeCell ref="A4:D4"/>
  </mergeCells>
  <printOptions/>
  <pageMargins left="0.7874015748031497" right="0.7874015748031497" top="0.7874015748031497" bottom="0.984251968503937" header="0" footer="0.3937007874015748"/>
  <pageSetup horizontalDpi="600" verticalDpi="600" orientation="portrait" r:id="rId1"/>
  <headerFooter alignWithMargins="0">
    <oddFooter>&amp;R&amp;P de &amp;N</oddFooter>
  </headerFooter>
  <rowBreaks count="1" manualBreakCount="1">
    <brk id="4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83"/>
  <sheetViews>
    <sheetView zoomScaleSheetLayoutView="75" workbookViewId="0" topLeftCell="A13">
      <selection activeCell="D62" sqref="D62"/>
    </sheetView>
  </sheetViews>
  <sheetFormatPr defaultColWidth="11.421875" defaultRowHeight="12.75"/>
  <cols>
    <col min="1" max="1" width="45.00390625" style="0" customWidth="1"/>
    <col min="2" max="2" width="16.421875" style="0" customWidth="1"/>
    <col min="3" max="3" width="11.7109375" style="0" customWidth="1"/>
    <col min="4" max="4" width="13.57421875" style="0" customWidth="1"/>
    <col min="5" max="5" width="2.8515625" style="0" customWidth="1"/>
  </cols>
  <sheetData>
    <row r="1" spans="1:5" ht="12.75">
      <c r="A1" s="248"/>
      <c r="B1" s="248"/>
      <c r="C1" s="252"/>
      <c r="D1" s="253" t="s">
        <v>18</v>
      </c>
      <c r="E1" s="1"/>
    </row>
    <row r="2" spans="1:5" ht="12.75">
      <c r="A2" s="286" t="s">
        <v>309</v>
      </c>
      <c r="B2" s="286"/>
      <c r="C2" s="286"/>
      <c r="D2" s="286"/>
      <c r="E2" s="1"/>
    </row>
    <row r="3" spans="1:5" ht="12.75">
      <c r="A3" s="286" t="s">
        <v>524</v>
      </c>
      <c r="B3" s="286"/>
      <c r="C3" s="286"/>
      <c r="D3" s="286"/>
      <c r="E3" s="1"/>
    </row>
    <row r="4" spans="1:5" ht="12.75">
      <c r="A4" s="286" t="s">
        <v>466</v>
      </c>
      <c r="B4" s="286"/>
      <c r="C4" s="286"/>
      <c r="D4" s="286"/>
      <c r="E4" s="1"/>
    </row>
    <row r="5" spans="1:5" ht="18.75" customHeight="1">
      <c r="A5" s="17"/>
      <c r="B5" s="17"/>
      <c r="C5" s="97"/>
      <c r="D5" s="30"/>
      <c r="E5" s="1"/>
    </row>
    <row r="6" spans="1:5" ht="26.25" customHeight="1">
      <c r="A6" s="246" t="s">
        <v>185</v>
      </c>
      <c r="B6" s="246" t="s">
        <v>136</v>
      </c>
      <c r="C6" s="246" t="s">
        <v>110</v>
      </c>
      <c r="D6" s="250" t="s">
        <v>20</v>
      </c>
      <c r="E6" s="1"/>
    </row>
    <row r="7" spans="1:5" ht="9" customHeight="1">
      <c r="A7" s="2"/>
      <c r="B7" s="2"/>
      <c r="C7" s="2"/>
      <c r="D7" s="24"/>
      <c r="E7" s="1"/>
    </row>
    <row r="8" spans="1:5" ht="12.75">
      <c r="A8" s="78" t="s">
        <v>256</v>
      </c>
      <c r="B8" s="7"/>
      <c r="C8" s="79"/>
      <c r="D8" s="24"/>
      <c r="E8" s="1"/>
    </row>
    <row r="9" spans="1:5" ht="12.75">
      <c r="A9" s="78"/>
      <c r="B9" s="7"/>
      <c r="C9" s="79"/>
      <c r="D9" s="24"/>
      <c r="E9" s="1"/>
    </row>
    <row r="10" spans="1:5" ht="12.75">
      <c r="A10" s="56" t="s">
        <v>229</v>
      </c>
      <c r="B10" s="7"/>
      <c r="C10" s="79"/>
      <c r="D10" s="160">
        <v>264076</v>
      </c>
      <c r="E10" s="1"/>
    </row>
    <row r="11" spans="1:5" ht="12.75">
      <c r="A11" s="7" t="s">
        <v>112</v>
      </c>
      <c r="B11" s="7" t="s">
        <v>198</v>
      </c>
      <c r="C11" s="79">
        <v>65500611562</v>
      </c>
      <c r="D11" s="160">
        <v>218430.83</v>
      </c>
      <c r="E11" s="12" t="s">
        <v>24</v>
      </c>
    </row>
    <row r="12" spans="1:5" ht="12.75">
      <c r="A12" s="7" t="s">
        <v>223</v>
      </c>
      <c r="B12" s="7" t="s">
        <v>198</v>
      </c>
      <c r="C12" s="79">
        <v>65501752447</v>
      </c>
      <c r="D12" s="160">
        <v>99.51</v>
      </c>
      <c r="E12" s="1"/>
    </row>
    <row r="13" spans="1:5" ht="12.75">
      <c r="A13" s="6" t="s">
        <v>203</v>
      </c>
      <c r="B13" s="7" t="s">
        <v>198</v>
      </c>
      <c r="C13" s="79">
        <v>65501752416</v>
      </c>
      <c r="D13" s="160">
        <v>-1381694.5</v>
      </c>
      <c r="E13" s="12" t="s">
        <v>27</v>
      </c>
    </row>
    <row r="14" spans="1:5" ht="12.75">
      <c r="A14" s="6" t="s">
        <v>166</v>
      </c>
      <c r="B14" s="7" t="s">
        <v>198</v>
      </c>
      <c r="C14" s="79">
        <v>65501752433</v>
      </c>
      <c r="D14" s="160">
        <v>-2259254.78</v>
      </c>
      <c r="E14" s="12" t="s">
        <v>27</v>
      </c>
    </row>
    <row r="15" spans="1:4" ht="12.75">
      <c r="A15" s="7" t="s">
        <v>224</v>
      </c>
      <c r="B15" s="7" t="s">
        <v>198</v>
      </c>
      <c r="C15" s="79">
        <v>65501761036</v>
      </c>
      <c r="D15" s="160">
        <v>1265107</v>
      </c>
    </row>
    <row r="16" spans="1:5" ht="12.75">
      <c r="A16" s="7" t="s">
        <v>282</v>
      </c>
      <c r="B16" s="7" t="s">
        <v>198</v>
      </c>
      <c r="C16" s="79">
        <v>65501790364</v>
      </c>
      <c r="D16" s="160">
        <v>748006.45</v>
      </c>
      <c r="E16" s="1"/>
    </row>
    <row r="17" spans="1:5" ht="12.75">
      <c r="A17" s="6" t="s">
        <v>170</v>
      </c>
      <c r="B17" s="7" t="s">
        <v>199</v>
      </c>
      <c r="C17" s="79" t="s">
        <v>115</v>
      </c>
      <c r="D17" s="160">
        <v>291767.65</v>
      </c>
      <c r="E17" s="1"/>
    </row>
    <row r="18" spans="1:5" ht="12.75">
      <c r="A18" s="6" t="s">
        <v>170</v>
      </c>
      <c r="B18" s="7" t="s">
        <v>199</v>
      </c>
      <c r="C18" s="79">
        <v>162537494</v>
      </c>
      <c r="D18" s="160">
        <v>598776.01</v>
      </c>
      <c r="E18" s="1"/>
    </row>
    <row r="19" spans="1:5" ht="12.75">
      <c r="A19" s="6" t="s">
        <v>284</v>
      </c>
      <c r="B19" s="7" t="s">
        <v>200</v>
      </c>
      <c r="C19" s="79">
        <v>4031053267</v>
      </c>
      <c r="D19" s="160">
        <v>9993.11</v>
      </c>
      <c r="E19" s="1"/>
    </row>
    <row r="20" spans="1:5" ht="12.75">
      <c r="A20" s="6" t="s">
        <v>477</v>
      </c>
      <c r="B20" s="7" t="s">
        <v>200</v>
      </c>
      <c r="C20" s="79">
        <v>4044248151</v>
      </c>
      <c r="D20" s="160">
        <v>10000</v>
      </c>
      <c r="E20" s="1"/>
    </row>
    <row r="21" spans="1:5" ht="12.75">
      <c r="A21" s="6" t="s">
        <v>166</v>
      </c>
      <c r="B21" s="7" t="s">
        <v>198</v>
      </c>
      <c r="C21" s="79">
        <v>51908075257</v>
      </c>
      <c r="D21" s="160">
        <v>63036.23</v>
      </c>
      <c r="E21" s="12" t="s">
        <v>24</v>
      </c>
    </row>
    <row r="22" spans="1:5" ht="12.75">
      <c r="A22" s="6" t="s">
        <v>166</v>
      </c>
      <c r="B22" s="7" t="s">
        <v>126</v>
      </c>
      <c r="C22" s="80" t="s">
        <v>149</v>
      </c>
      <c r="D22" s="160">
        <v>-134767</v>
      </c>
      <c r="E22" s="12" t="s">
        <v>23</v>
      </c>
    </row>
    <row r="23" spans="1:4" ht="12.75">
      <c r="A23" s="6" t="s">
        <v>204</v>
      </c>
      <c r="B23" s="7" t="s">
        <v>126</v>
      </c>
      <c r="C23" s="80" t="s">
        <v>206</v>
      </c>
      <c r="D23" s="160">
        <v>13698072.44</v>
      </c>
    </row>
    <row r="24" spans="1:5" ht="12.75">
      <c r="A24" s="6" t="s">
        <v>204</v>
      </c>
      <c r="B24" s="7" t="s">
        <v>126</v>
      </c>
      <c r="C24" s="80" t="s">
        <v>222</v>
      </c>
      <c r="D24" s="160">
        <v>-688072.93</v>
      </c>
      <c r="E24" s="12" t="s">
        <v>27</v>
      </c>
    </row>
    <row r="25" spans="1:5" ht="12.75">
      <c r="A25" s="6" t="s">
        <v>204</v>
      </c>
      <c r="B25" s="7" t="s">
        <v>126</v>
      </c>
      <c r="C25" s="80" t="s">
        <v>413</v>
      </c>
      <c r="D25" s="160">
        <v>2928379.01</v>
      </c>
      <c r="E25" s="12"/>
    </row>
    <row r="26" spans="1:5" ht="12.75">
      <c r="A26" s="6" t="s">
        <v>203</v>
      </c>
      <c r="B26" s="7" t="s">
        <v>126</v>
      </c>
      <c r="C26" s="80" t="s">
        <v>414</v>
      </c>
      <c r="D26" s="160">
        <v>2410263</v>
      </c>
      <c r="E26" s="12"/>
    </row>
    <row r="27" spans="1:5" ht="12.75">
      <c r="A27" s="6" t="s">
        <v>293</v>
      </c>
      <c r="B27" s="7" t="s">
        <v>198</v>
      </c>
      <c r="C27" s="79">
        <v>65501896472</v>
      </c>
      <c r="D27" s="160">
        <v>138441.21</v>
      </c>
      <c r="E27" s="1"/>
    </row>
    <row r="28" spans="1:5" ht="12.75">
      <c r="A28" s="7" t="s">
        <v>298</v>
      </c>
      <c r="B28" s="7" t="s">
        <v>198</v>
      </c>
      <c r="C28" s="79">
        <v>65501928095</v>
      </c>
      <c r="D28" s="160">
        <v>594675.92</v>
      </c>
      <c r="E28" s="1"/>
    </row>
    <row r="29" spans="1:5" ht="12.75">
      <c r="A29" s="7" t="s">
        <v>373</v>
      </c>
      <c r="B29" s="7" t="s">
        <v>198</v>
      </c>
      <c r="C29" s="79">
        <v>65502360378</v>
      </c>
      <c r="D29" s="160">
        <v>331542.63</v>
      </c>
      <c r="E29" s="12"/>
    </row>
    <row r="30" spans="1:5" ht="12.75">
      <c r="A30" s="6" t="s">
        <v>203</v>
      </c>
      <c r="B30" s="7" t="s">
        <v>198</v>
      </c>
      <c r="C30" s="79">
        <v>65502468962</v>
      </c>
      <c r="D30" s="160">
        <v>8954302.85</v>
      </c>
      <c r="E30" s="12"/>
    </row>
    <row r="31" spans="1:5" ht="12.75">
      <c r="A31" s="6" t="s">
        <v>166</v>
      </c>
      <c r="B31" s="7" t="s">
        <v>198</v>
      </c>
      <c r="C31" s="79">
        <v>65502468993</v>
      </c>
      <c r="D31" s="160">
        <v>4538586.07</v>
      </c>
      <c r="E31" s="12"/>
    </row>
    <row r="32" spans="2:5" ht="9" customHeight="1">
      <c r="B32" s="1"/>
      <c r="C32" s="3"/>
      <c r="D32" s="104"/>
      <c r="E32" s="1"/>
    </row>
    <row r="33" spans="1:5" ht="12.75">
      <c r="A33" s="4" t="s">
        <v>150</v>
      </c>
      <c r="B33" s="1"/>
      <c r="C33" s="3"/>
      <c r="D33" s="163">
        <f>SUM(D10:D32)</f>
        <v>32599766.71</v>
      </c>
      <c r="E33" s="1"/>
    </row>
    <row r="34" spans="1:5" ht="12.75">
      <c r="A34" s="1"/>
      <c r="B34" s="1"/>
      <c r="C34" s="3"/>
      <c r="D34" s="103"/>
      <c r="E34" s="1"/>
    </row>
    <row r="35" spans="1:5" ht="12.75">
      <c r="A35" s="8" t="s">
        <v>184</v>
      </c>
      <c r="B35" s="1"/>
      <c r="C35" s="3"/>
      <c r="D35" s="103"/>
      <c r="E35" s="1"/>
    </row>
    <row r="36" spans="1:5" ht="12.75">
      <c r="A36" s="1"/>
      <c r="B36" s="1"/>
      <c r="C36" s="3"/>
      <c r="D36" s="103"/>
      <c r="E36" s="1"/>
    </row>
    <row r="37" spans="1:5" ht="12.75">
      <c r="A37" s="7" t="s">
        <v>171</v>
      </c>
      <c r="B37" s="7" t="s">
        <v>198</v>
      </c>
      <c r="C37" s="80" t="s">
        <v>259</v>
      </c>
      <c r="D37" s="160">
        <v>40538975.53</v>
      </c>
      <c r="E37" s="1"/>
    </row>
    <row r="38" spans="1:5" ht="12.75">
      <c r="A38" s="7" t="s">
        <v>349</v>
      </c>
      <c r="B38" s="7" t="s">
        <v>198</v>
      </c>
      <c r="C38" s="79">
        <v>66501928095</v>
      </c>
      <c r="D38" s="160">
        <v>644.76</v>
      </c>
      <c r="E38" s="1"/>
    </row>
    <row r="39" spans="1:5" ht="12.75">
      <c r="A39" s="7" t="s">
        <v>344</v>
      </c>
      <c r="B39" s="7" t="s">
        <v>343</v>
      </c>
      <c r="C39" s="80" t="s">
        <v>345</v>
      </c>
      <c r="D39" s="160">
        <v>4238201.37</v>
      </c>
      <c r="E39" s="1"/>
    </row>
    <row r="40" spans="1:5" ht="9" customHeight="1">
      <c r="A40" s="1"/>
      <c r="B40" s="1"/>
      <c r="C40" s="3"/>
      <c r="D40" s="103"/>
      <c r="E40" s="1"/>
    </row>
    <row r="41" spans="1:5" ht="12.75">
      <c r="A41" s="4" t="s">
        <v>173</v>
      </c>
      <c r="B41" s="1"/>
      <c r="C41" s="3"/>
      <c r="D41" s="180">
        <f>SUM(D37:D40)</f>
        <v>44777821.66</v>
      </c>
      <c r="E41" s="1"/>
    </row>
    <row r="42" spans="1:5" ht="12.75">
      <c r="A42" s="1"/>
      <c r="B42" s="1"/>
      <c r="C42" s="3"/>
      <c r="E42" s="1"/>
    </row>
    <row r="43" spans="1:4" ht="12.75">
      <c r="A43" s="8" t="s">
        <v>174</v>
      </c>
      <c r="B43" s="1"/>
      <c r="C43" s="3"/>
      <c r="D43" s="23"/>
    </row>
    <row r="45" spans="1:5" ht="12.75">
      <c r="A45" s="6" t="s">
        <v>172</v>
      </c>
      <c r="B45" s="7" t="s">
        <v>198</v>
      </c>
      <c r="C45" s="79" t="s">
        <v>113</v>
      </c>
      <c r="D45" s="160">
        <v>17772.7</v>
      </c>
      <c r="E45" s="12" t="s">
        <v>257</v>
      </c>
    </row>
    <row r="46" spans="1:5" ht="12.75">
      <c r="A46" s="6" t="s">
        <v>175</v>
      </c>
      <c r="B46" s="7" t="s">
        <v>198</v>
      </c>
      <c r="C46" s="79" t="s">
        <v>114</v>
      </c>
      <c r="D46" s="160">
        <v>887231.75</v>
      </c>
      <c r="E46" s="12" t="s">
        <v>258</v>
      </c>
    </row>
    <row r="47" spans="1:4" ht="12.75">
      <c r="A47" s="7" t="s">
        <v>117</v>
      </c>
      <c r="B47" s="7" t="s">
        <v>198</v>
      </c>
      <c r="C47" s="79" t="s">
        <v>118</v>
      </c>
      <c r="D47" s="160">
        <v>24981757.51</v>
      </c>
    </row>
    <row r="48" spans="1:5" ht="12.75">
      <c r="A48" s="7" t="s">
        <v>88</v>
      </c>
      <c r="B48" s="7" t="s">
        <v>201</v>
      </c>
      <c r="C48" s="79" t="s">
        <v>116</v>
      </c>
      <c r="D48" s="160">
        <v>2067.5</v>
      </c>
      <c r="E48" s="1"/>
    </row>
    <row r="49" spans="1:5" ht="12.75">
      <c r="A49" s="7" t="s">
        <v>167</v>
      </c>
      <c r="B49" s="7" t="s">
        <v>202</v>
      </c>
      <c r="C49" s="79" t="s">
        <v>119</v>
      </c>
      <c r="D49" s="160">
        <v>2391548.24</v>
      </c>
      <c r="E49" s="1"/>
    </row>
    <row r="50" spans="1:5" ht="12.75">
      <c r="A50" s="7" t="s">
        <v>340</v>
      </c>
      <c r="B50" s="7" t="s">
        <v>198</v>
      </c>
      <c r="C50" s="79" t="s">
        <v>339</v>
      </c>
      <c r="D50" s="160">
        <v>9772</v>
      </c>
      <c r="E50" s="1"/>
    </row>
    <row r="51" spans="1:4" ht="12.75">
      <c r="A51" s="7" t="s">
        <v>283</v>
      </c>
      <c r="B51" s="7" t="s">
        <v>198</v>
      </c>
      <c r="C51" s="79" t="s">
        <v>285</v>
      </c>
      <c r="D51" s="160">
        <v>919.48</v>
      </c>
    </row>
    <row r="52" spans="1:5" ht="12.75">
      <c r="A52" s="7" t="s">
        <v>250</v>
      </c>
      <c r="B52" s="7" t="s">
        <v>198</v>
      </c>
      <c r="C52" s="79">
        <v>82500274581</v>
      </c>
      <c r="D52" s="160">
        <v>1205078.22</v>
      </c>
      <c r="E52" s="12" t="s">
        <v>371</v>
      </c>
    </row>
    <row r="53" spans="1:5" ht="12.75">
      <c r="A53" s="7" t="s">
        <v>252</v>
      </c>
      <c r="B53" s="7" t="s">
        <v>198</v>
      </c>
      <c r="C53" s="79" t="s">
        <v>251</v>
      </c>
      <c r="D53" s="160">
        <v>1636264.27</v>
      </c>
      <c r="E53" s="1"/>
    </row>
    <row r="54" spans="1:5" ht="12.75">
      <c r="A54" s="7" t="s">
        <v>289</v>
      </c>
      <c r="B54" s="7" t="s">
        <v>198</v>
      </c>
      <c r="C54" s="79" t="s">
        <v>290</v>
      </c>
      <c r="D54" s="160">
        <v>31961150.72</v>
      </c>
      <c r="E54" s="1"/>
    </row>
    <row r="55" spans="1:5" ht="12.75">
      <c r="A55" s="7" t="s">
        <v>288</v>
      </c>
      <c r="B55" s="7" t="s">
        <v>198</v>
      </c>
      <c r="C55" s="79" t="s">
        <v>291</v>
      </c>
      <c r="D55" s="160">
        <v>2838226.13</v>
      </c>
      <c r="E55" s="1"/>
    </row>
    <row r="56" spans="1:5" ht="12.75">
      <c r="A56" s="7" t="s">
        <v>368</v>
      </c>
      <c r="B56" s="7" t="s">
        <v>198</v>
      </c>
      <c r="C56" s="79" t="s">
        <v>370</v>
      </c>
      <c r="D56" s="160">
        <v>205542.76</v>
      </c>
      <c r="E56" s="1"/>
    </row>
    <row r="57" spans="1:5" ht="12.75">
      <c r="A57" s="7" t="s">
        <v>357</v>
      </c>
      <c r="B57" s="7" t="s">
        <v>198</v>
      </c>
      <c r="C57" s="79" t="s">
        <v>358</v>
      </c>
      <c r="D57" s="160">
        <v>72702931.47</v>
      </c>
      <c r="E57" s="1"/>
    </row>
    <row r="58" spans="1:5" ht="12.75">
      <c r="A58" s="7" t="s">
        <v>369</v>
      </c>
      <c r="B58" s="7" t="s">
        <v>198</v>
      </c>
      <c r="C58" s="79" t="s">
        <v>363</v>
      </c>
      <c r="D58" s="160">
        <v>28024167.07</v>
      </c>
      <c r="E58" s="1"/>
    </row>
    <row r="59" spans="1:5" ht="12.75">
      <c r="A59" s="7" t="s">
        <v>436</v>
      </c>
      <c r="B59" s="7" t="s">
        <v>198</v>
      </c>
      <c r="C59" s="79" t="s">
        <v>437</v>
      </c>
      <c r="D59" s="160">
        <v>679642.49</v>
      </c>
      <c r="E59" s="1"/>
    </row>
    <row r="60" spans="1:5" ht="9" customHeight="1">
      <c r="A60" s="1"/>
      <c r="B60" s="1"/>
      <c r="C60" s="1"/>
      <c r="D60" s="103"/>
      <c r="E60" s="1"/>
    </row>
    <row r="61" spans="1:5" ht="12.75">
      <c r="A61" s="8" t="s">
        <v>176</v>
      </c>
      <c r="B61" s="1"/>
      <c r="C61" s="3"/>
      <c r="D61" s="180">
        <f>SUM(D45:D60)</f>
        <v>167544072.31</v>
      </c>
      <c r="E61" s="1"/>
    </row>
    <row r="62" spans="1:5" ht="9" customHeight="1">
      <c r="A62" s="4"/>
      <c r="B62" s="4"/>
      <c r="C62" s="79"/>
      <c r="D62" s="184"/>
      <c r="E62" s="1"/>
    </row>
    <row r="63" spans="1:5" ht="13.5" thickBot="1">
      <c r="A63" s="4" t="s">
        <v>120</v>
      </c>
      <c r="B63" s="7"/>
      <c r="C63" s="10" t="s">
        <v>121</v>
      </c>
      <c r="D63" s="173">
        <f>SUM(D33+D41+D61)</f>
        <v>244921660.68</v>
      </c>
      <c r="E63" s="1"/>
    </row>
    <row r="64" ht="13.5" thickTop="1">
      <c r="A64" s="8" t="s">
        <v>29</v>
      </c>
    </row>
    <row r="65" ht="12.75">
      <c r="A65" s="19" t="s">
        <v>415</v>
      </c>
    </row>
    <row r="66" ht="12.75">
      <c r="A66" s="19" t="s">
        <v>294</v>
      </c>
    </row>
    <row r="67" ht="12.75">
      <c r="A67" s="19" t="s">
        <v>465</v>
      </c>
    </row>
    <row r="68" ht="12.75">
      <c r="A68" s="58" t="s">
        <v>386</v>
      </c>
    </row>
    <row r="69" ht="12.75">
      <c r="A69" s="19" t="s">
        <v>478</v>
      </c>
    </row>
    <row r="70" ht="12.75">
      <c r="A70" s="19" t="s">
        <v>479</v>
      </c>
    </row>
    <row r="71" ht="12.75">
      <c r="A71" s="19" t="s">
        <v>480</v>
      </c>
    </row>
    <row r="72" ht="12.75">
      <c r="A72" s="19"/>
    </row>
    <row r="73" ht="12.75">
      <c r="A73" s="84" t="s">
        <v>379</v>
      </c>
    </row>
    <row r="74" ht="12.75">
      <c r="A74" s="215"/>
    </row>
    <row r="75" spans="1:4" ht="12.75">
      <c r="A75" s="216" t="s">
        <v>376</v>
      </c>
      <c r="B75" s="7" t="s">
        <v>199</v>
      </c>
      <c r="C75" s="80" t="s">
        <v>375</v>
      </c>
      <c r="D75" s="160">
        <v>189600643.06</v>
      </c>
    </row>
    <row r="76" spans="1:4" ht="12.75">
      <c r="A76" s="84" t="s">
        <v>387</v>
      </c>
      <c r="B76" s="7" t="s">
        <v>199</v>
      </c>
      <c r="C76" s="80" t="s">
        <v>375</v>
      </c>
      <c r="D76" s="206">
        <v>6019631.59</v>
      </c>
    </row>
    <row r="77" spans="1:4" ht="13.5" thickBot="1">
      <c r="A77" s="215"/>
      <c r="D77" s="255">
        <f>SUM(D75:D76)</f>
        <v>195620274.65</v>
      </c>
    </row>
    <row r="78" spans="1:4" ht="13.5" thickTop="1">
      <c r="A78" s="216" t="s">
        <v>380</v>
      </c>
      <c r="B78" s="207">
        <v>186948612.88</v>
      </c>
      <c r="D78" s="256"/>
    </row>
    <row r="79" spans="1:4" ht="12.75">
      <c r="A79" s="216" t="s">
        <v>381</v>
      </c>
      <c r="B79" s="207">
        <v>8763657.13</v>
      </c>
      <c r="D79" s="256"/>
    </row>
    <row r="80" spans="1:4" ht="12.75">
      <c r="A80" s="215" t="s">
        <v>481</v>
      </c>
      <c r="B80" s="207">
        <v>896936.33</v>
      </c>
      <c r="D80" s="256"/>
    </row>
    <row r="81" spans="1:4" ht="12.75">
      <c r="A81" s="216" t="s">
        <v>382</v>
      </c>
      <c r="B81" s="223">
        <v>-772321.73</v>
      </c>
      <c r="D81" s="256"/>
    </row>
    <row r="82" spans="1:4" ht="13.5" thickBot="1">
      <c r="A82" s="215" t="s">
        <v>482</v>
      </c>
      <c r="B82" s="221">
        <v>-216609.96</v>
      </c>
      <c r="C82" s="208"/>
      <c r="D82" s="257">
        <f>SUM(B78:B82)</f>
        <v>195620274.65</v>
      </c>
    </row>
    <row r="83" spans="1:3" ht="13.5" thickTop="1">
      <c r="A83" s="215"/>
      <c r="B83" s="220"/>
      <c r="C83" s="218"/>
    </row>
  </sheetData>
  <mergeCells count="3">
    <mergeCell ref="A2:D2"/>
    <mergeCell ref="A3:D3"/>
    <mergeCell ref="A4:D4"/>
  </mergeCells>
  <printOptions/>
  <pageMargins left="0.7874015748031497" right="0.7874015748031497" top="0.7874015748031497" bottom="0.984251968503937" header="0" footer="0.3937007874015748"/>
  <pageSetup horizontalDpi="600" verticalDpi="600" orientation="portrait" scale="98" r:id="rId1"/>
  <headerFooter alignWithMargins="0">
    <oddFooter>&amp;R&amp;P de &amp;N</oddFooter>
  </headerFooter>
  <rowBreaks count="1" manualBreakCount="1">
    <brk id="4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46">
      <selection activeCell="D54" sqref="D54"/>
    </sheetView>
  </sheetViews>
  <sheetFormatPr defaultColWidth="11.421875" defaultRowHeight="12.75"/>
  <cols>
    <col min="1" max="1" width="45.00390625" style="0" customWidth="1"/>
    <col min="2" max="2" width="16.421875" style="0" customWidth="1"/>
    <col min="3" max="3" width="11.7109375" style="0" customWidth="1"/>
    <col min="4" max="4" width="13.57421875" style="0" customWidth="1"/>
    <col min="5" max="5" width="2.8515625" style="0" customWidth="1"/>
  </cols>
  <sheetData>
    <row r="1" spans="1:5" ht="12.75">
      <c r="A1" s="248"/>
      <c r="B1" s="248"/>
      <c r="C1" s="252"/>
      <c r="D1" s="253" t="s">
        <v>18</v>
      </c>
      <c r="E1" s="1"/>
    </row>
    <row r="2" spans="1:5" ht="12.75">
      <c r="A2" s="286" t="s">
        <v>309</v>
      </c>
      <c r="B2" s="286"/>
      <c r="C2" s="286"/>
      <c r="D2" s="286"/>
      <c r="E2" s="1"/>
    </row>
    <row r="3" spans="1:5" ht="12.75">
      <c r="A3" s="286" t="s">
        <v>524</v>
      </c>
      <c r="B3" s="286"/>
      <c r="C3" s="286"/>
      <c r="D3" s="286"/>
      <c r="E3" s="1"/>
    </row>
    <row r="4" spans="1:5" ht="12.75">
      <c r="A4" s="286" t="s">
        <v>492</v>
      </c>
      <c r="B4" s="286"/>
      <c r="C4" s="286"/>
      <c r="D4" s="286"/>
      <c r="E4" s="1"/>
    </row>
    <row r="5" spans="1:5" ht="18.75" customHeight="1">
      <c r="A5" s="17"/>
      <c r="B5" s="17"/>
      <c r="C5" s="97"/>
      <c r="D5" s="30"/>
      <c r="E5" s="1"/>
    </row>
    <row r="6" spans="1:5" ht="26.25" customHeight="1">
      <c r="A6" s="246" t="s">
        <v>185</v>
      </c>
      <c r="B6" s="246" t="s">
        <v>136</v>
      </c>
      <c r="C6" s="246" t="s">
        <v>110</v>
      </c>
      <c r="D6" s="250" t="s">
        <v>20</v>
      </c>
      <c r="E6" s="1"/>
    </row>
    <row r="7" spans="1:5" ht="9" customHeight="1">
      <c r="A7" s="2"/>
      <c r="B7" s="2"/>
      <c r="C7" s="2"/>
      <c r="D7" s="24"/>
      <c r="E7" s="1"/>
    </row>
    <row r="8" spans="1:5" ht="12.75">
      <c r="A8" s="78" t="s">
        <v>256</v>
      </c>
      <c r="B8" s="7"/>
      <c r="C8" s="79"/>
      <c r="D8" s="24"/>
      <c r="E8" s="1"/>
    </row>
    <row r="9" spans="1:5" ht="12.75">
      <c r="A9" s="78"/>
      <c r="B9" s="7"/>
      <c r="C9" s="79"/>
      <c r="D9" s="24"/>
      <c r="E9" s="1"/>
    </row>
    <row r="10" spans="1:5" ht="12.75">
      <c r="A10" s="56" t="s">
        <v>229</v>
      </c>
      <c r="B10" s="7"/>
      <c r="C10" s="79"/>
      <c r="D10" s="160">
        <v>60115</v>
      </c>
      <c r="E10" s="1"/>
    </row>
    <row r="11" spans="1:5" ht="12.75">
      <c r="A11" s="7" t="s">
        <v>112</v>
      </c>
      <c r="B11" s="7" t="s">
        <v>198</v>
      </c>
      <c r="C11" s="79">
        <v>65500611562</v>
      </c>
      <c r="D11" s="160">
        <v>218430.83</v>
      </c>
      <c r="E11" s="12" t="s">
        <v>24</v>
      </c>
    </row>
    <row r="12" spans="1:5" ht="12.75">
      <c r="A12" s="7" t="s">
        <v>223</v>
      </c>
      <c r="B12" s="7" t="s">
        <v>198</v>
      </c>
      <c r="C12" s="79">
        <v>65501752447</v>
      </c>
      <c r="D12" s="160">
        <v>0</v>
      </c>
      <c r="E12" s="1"/>
    </row>
    <row r="13" spans="1:5" ht="12.75">
      <c r="A13" s="6" t="s">
        <v>166</v>
      </c>
      <c r="B13" s="7" t="s">
        <v>198</v>
      </c>
      <c r="C13" s="79">
        <v>65501752433</v>
      </c>
      <c r="D13" s="160">
        <v>-1275232.1</v>
      </c>
      <c r="E13" s="12" t="s">
        <v>27</v>
      </c>
    </row>
    <row r="14" spans="1:4" ht="12.75">
      <c r="A14" s="7" t="s">
        <v>224</v>
      </c>
      <c r="B14" s="7" t="s">
        <v>198</v>
      </c>
      <c r="C14" s="79">
        <v>65501761036</v>
      </c>
      <c r="D14" s="160">
        <v>340225.75</v>
      </c>
    </row>
    <row r="15" spans="1:5" ht="12.75">
      <c r="A15" s="7" t="s">
        <v>282</v>
      </c>
      <c r="B15" s="7" t="s">
        <v>198</v>
      </c>
      <c r="C15" s="79">
        <v>65501790364</v>
      </c>
      <c r="D15" s="160">
        <v>747989.2</v>
      </c>
      <c r="E15" s="1"/>
    </row>
    <row r="16" spans="1:5" ht="12.75">
      <c r="A16" s="6" t="s">
        <v>170</v>
      </c>
      <c r="B16" s="7" t="s">
        <v>199</v>
      </c>
      <c r="C16" s="79" t="s">
        <v>115</v>
      </c>
      <c r="D16" s="160">
        <v>291767.65</v>
      </c>
      <c r="E16" s="1"/>
    </row>
    <row r="17" spans="1:5" ht="12.75">
      <c r="A17" s="6" t="s">
        <v>170</v>
      </c>
      <c r="B17" s="7" t="s">
        <v>199</v>
      </c>
      <c r="C17" s="79">
        <v>162537494</v>
      </c>
      <c r="D17" s="160">
        <v>568781.07</v>
      </c>
      <c r="E17" s="1"/>
    </row>
    <row r="18" spans="1:5" ht="12.75">
      <c r="A18" s="6" t="s">
        <v>284</v>
      </c>
      <c r="B18" s="7" t="s">
        <v>200</v>
      </c>
      <c r="C18" s="79">
        <v>4031053267</v>
      </c>
      <c r="D18" s="160">
        <v>9993.11</v>
      </c>
      <c r="E18" s="1"/>
    </row>
    <row r="19" spans="1:5" ht="12.75">
      <c r="A19" s="6" t="s">
        <v>477</v>
      </c>
      <c r="B19" s="7" t="s">
        <v>200</v>
      </c>
      <c r="C19" s="79">
        <v>4044248151</v>
      </c>
      <c r="D19" s="160">
        <v>10000</v>
      </c>
      <c r="E19" s="1"/>
    </row>
    <row r="20" spans="1:5" ht="12.75">
      <c r="A20" s="6" t="s">
        <v>166</v>
      </c>
      <c r="B20" s="7" t="s">
        <v>198</v>
      </c>
      <c r="C20" s="79">
        <v>51908075257</v>
      </c>
      <c r="D20" s="160">
        <v>63036.23</v>
      </c>
      <c r="E20" s="12" t="s">
        <v>24</v>
      </c>
    </row>
    <row r="21" spans="1:5" ht="12.75">
      <c r="A21" s="6" t="s">
        <v>166</v>
      </c>
      <c r="B21" s="7" t="s">
        <v>126</v>
      </c>
      <c r="C21" s="80" t="s">
        <v>149</v>
      </c>
      <c r="D21" s="160">
        <v>-134767</v>
      </c>
      <c r="E21" s="12" t="s">
        <v>23</v>
      </c>
    </row>
    <row r="22" spans="1:4" ht="12.75">
      <c r="A22" s="6" t="s">
        <v>204</v>
      </c>
      <c r="B22" s="7" t="s">
        <v>126</v>
      </c>
      <c r="C22" s="80" t="s">
        <v>206</v>
      </c>
      <c r="D22" s="160">
        <v>174043.04</v>
      </c>
    </row>
    <row r="23" spans="1:5" ht="12.75">
      <c r="A23" s="6" t="s">
        <v>204</v>
      </c>
      <c r="B23" s="7" t="s">
        <v>126</v>
      </c>
      <c r="C23" s="80" t="s">
        <v>222</v>
      </c>
      <c r="D23" s="160">
        <v>-18603</v>
      </c>
      <c r="E23" s="12" t="s">
        <v>27</v>
      </c>
    </row>
    <row r="24" spans="1:5" ht="12.75">
      <c r="A24" s="6" t="s">
        <v>204</v>
      </c>
      <c r="B24" s="7" t="s">
        <v>126</v>
      </c>
      <c r="C24" s="80" t="s">
        <v>413</v>
      </c>
      <c r="D24" s="160">
        <v>260593.1</v>
      </c>
      <c r="E24" s="12"/>
    </row>
    <row r="25" spans="1:5" ht="12.75">
      <c r="A25" s="6" t="s">
        <v>203</v>
      </c>
      <c r="B25" s="7" t="s">
        <v>126</v>
      </c>
      <c r="C25" s="80" t="s">
        <v>414</v>
      </c>
      <c r="D25" s="160">
        <v>957349.17</v>
      </c>
      <c r="E25" s="12"/>
    </row>
    <row r="26" spans="1:5" ht="12.75">
      <c r="A26" s="6" t="s">
        <v>293</v>
      </c>
      <c r="B26" s="7" t="s">
        <v>198</v>
      </c>
      <c r="C26" s="79">
        <v>65501896472</v>
      </c>
      <c r="D26" s="160">
        <v>138423.96</v>
      </c>
      <c r="E26" s="1"/>
    </row>
    <row r="27" spans="1:5" ht="12.75">
      <c r="A27" s="7" t="s">
        <v>298</v>
      </c>
      <c r="B27" s="7" t="s">
        <v>198</v>
      </c>
      <c r="C27" s="79">
        <v>65501928095</v>
      </c>
      <c r="D27" s="160">
        <v>594658.67</v>
      </c>
      <c r="E27" s="1"/>
    </row>
    <row r="28" spans="1:5" ht="12.75">
      <c r="A28" s="7" t="s">
        <v>373</v>
      </c>
      <c r="B28" s="7" t="s">
        <v>198</v>
      </c>
      <c r="C28" s="79">
        <v>65502360378</v>
      </c>
      <c r="D28" s="160">
        <v>236424.54</v>
      </c>
      <c r="E28" s="12"/>
    </row>
    <row r="29" spans="1:5" ht="12.75">
      <c r="A29" s="6" t="s">
        <v>203</v>
      </c>
      <c r="B29" s="7" t="s">
        <v>198</v>
      </c>
      <c r="C29" s="79">
        <v>65502468962</v>
      </c>
      <c r="D29" s="160">
        <v>33761426.6</v>
      </c>
      <c r="E29" s="12"/>
    </row>
    <row r="30" spans="1:5" ht="12.75">
      <c r="A30" s="6" t="s">
        <v>166</v>
      </c>
      <c r="B30" s="7" t="s">
        <v>198</v>
      </c>
      <c r="C30" s="79">
        <v>65502468993</v>
      </c>
      <c r="D30" s="160">
        <v>-4421179.67</v>
      </c>
      <c r="E30" s="12" t="s">
        <v>27</v>
      </c>
    </row>
    <row r="31" spans="1:5" ht="12.75">
      <c r="A31" s="6" t="s">
        <v>493</v>
      </c>
      <c r="B31" s="7" t="s">
        <v>198</v>
      </c>
      <c r="C31" s="79">
        <v>65502558764</v>
      </c>
      <c r="D31" s="160">
        <v>47131.57</v>
      </c>
      <c r="E31" s="12"/>
    </row>
    <row r="32" spans="2:5" ht="9" customHeight="1">
      <c r="B32" s="1"/>
      <c r="C32" s="3"/>
      <c r="D32" s="104"/>
      <c r="E32" s="1"/>
    </row>
    <row r="33" spans="1:5" ht="12.75">
      <c r="A33" s="4" t="s">
        <v>150</v>
      </c>
      <c r="B33" s="1"/>
      <c r="C33" s="3"/>
      <c r="D33" s="163">
        <f>SUM(D10:D32)</f>
        <v>32630607.72</v>
      </c>
      <c r="E33" s="1"/>
    </row>
    <row r="34" spans="1:5" ht="12.75">
      <c r="A34" s="1"/>
      <c r="B34" s="1"/>
      <c r="C34" s="3"/>
      <c r="D34" s="103"/>
      <c r="E34" s="1"/>
    </row>
    <row r="35" spans="1:5" ht="12.75">
      <c r="A35" s="8" t="s">
        <v>184</v>
      </c>
      <c r="B35" s="1"/>
      <c r="C35" s="3"/>
      <c r="D35" s="103"/>
      <c r="E35" s="1"/>
    </row>
    <row r="36" spans="1:5" ht="12.75">
      <c r="A36" s="1"/>
      <c r="B36" s="1"/>
      <c r="C36" s="3"/>
      <c r="D36" s="103"/>
      <c r="E36" s="1"/>
    </row>
    <row r="37" spans="1:5" ht="12.75">
      <c r="A37" s="7" t="s">
        <v>171</v>
      </c>
      <c r="B37" s="7" t="s">
        <v>198</v>
      </c>
      <c r="C37" s="80" t="s">
        <v>259</v>
      </c>
      <c r="D37" s="160">
        <v>57833.55</v>
      </c>
      <c r="E37" s="1"/>
    </row>
    <row r="38" spans="1:5" ht="12.75">
      <c r="A38" s="7" t="s">
        <v>349</v>
      </c>
      <c r="B38" s="7" t="s">
        <v>198</v>
      </c>
      <c r="C38" s="79">
        <v>66501928095</v>
      </c>
      <c r="D38" s="160">
        <v>644.76</v>
      </c>
      <c r="E38" s="1"/>
    </row>
    <row r="39" spans="1:5" ht="12.75">
      <c r="A39" s="7" t="s">
        <v>344</v>
      </c>
      <c r="B39" s="7" t="s">
        <v>343</v>
      </c>
      <c r="C39" s="80" t="s">
        <v>345</v>
      </c>
      <c r="D39" s="160">
        <v>4255907.21</v>
      </c>
      <c r="E39" s="1"/>
    </row>
    <row r="40" spans="1:5" ht="9" customHeight="1">
      <c r="A40" s="1"/>
      <c r="B40" s="1"/>
      <c r="C40" s="3"/>
      <c r="D40" s="103"/>
      <c r="E40" s="1"/>
    </row>
    <row r="41" spans="1:5" ht="12.75">
      <c r="A41" s="4" t="s">
        <v>173</v>
      </c>
      <c r="B41" s="1"/>
      <c r="C41" s="3"/>
      <c r="D41" s="180">
        <f>SUM(D37:D40)</f>
        <v>4314385.52</v>
      </c>
      <c r="E41" s="1"/>
    </row>
    <row r="42" spans="1:5" ht="12.75">
      <c r="A42" s="1"/>
      <c r="B42" s="1"/>
      <c r="C42" s="3"/>
      <c r="E42" s="1"/>
    </row>
    <row r="43" spans="1:4" ht="12.75">
      <c r="A43" s="8" t="s">
        <v>174</v>
      </c>
      <c r="B43" s="1"/>
      <c r="C43" s="3"/>
      <c r="D43" s="23"/>
    </row>
    <row r="45" spans="1:5" ht="12.75">
      <c r="A45" s="6" t="s">
        <v>172</v>
      </c>
      <c r="B45" s="7" t="s">
        <v>198</v>
      </c>
      <c r="C45" s="79" t="s">
        <v>113</v>
      </c>
      <c r="D45" s="160">
        <v>17893.49</v>
      </c>
      <c r="E45" s="12" t="s">
        <v>257</v>
      </c>
    </row>
    <row r="46" spans="1:5" ht="12.75">
      <c r="A46" s="6" t="s">
        <v>175</v>
      </c>
      <c r="B46" s="7" t="s">
        <v>198</v>
      </c>
      <c r="C46" s="79" t="s">
        <v>114</v>
      </c>
      <c r="D46" s="160">
        <v>894732.21</v>
      </c>
      <c r="E46" s="12" t="s">
        <v>258</v>
      </c>
    </row>
    <row r="47" spans="1:4" ht="12.75">
      <c r="A47" s="7" t="s">
        <v>117</v>
      </c>
      <c r="B47" s="7" t="s">
        <v>198</v>
      </c>
      <c r="C47" s="79" t="s">
        <v>118</v>
      </c>
      <c r="D47" s="160">
        <v>24206548.04</v>
      </c>
    </row>
    <row r="48" spans="1:5" ht="12.75">
      <c r="A48" s="7" t="s">
        <v>88</v>
      </c>
      <c r="B48" s="7" t="s">
        <v>201</v>
      </c>
      <c r="C48" s="79" t="s">
        <v>116</v>
      </c>
      <c r="D48" s="160">
        <v>2067.5</v>
      </c>
      <c r="E48" s="1"/>
    </row>
    <row r="49" spans="1:5" ht="12.75">
      <c r="A49" s="7" t="s">
        <v>167</v>
      </c>
      <c r="B49" s="7" t="s">
        <v>202</v>
      </c>
      <c r="C49" s="79" t="s">
        <v>119</v>
      </c>
      <c r="D49" s="160">
        <v>2394150.9</v>
      </c>
      <c r="E49" s="1"/>
    </row>
    <row r="50" spans="1:5" ht="12.75">
      <c r="A50" s="7" t="s">
        <v>340</v>
      </c>
      <c r="B50" s="7" t="s">
        <v>198</v>
      </c>
      <c r="C50" s="79" t="s">
        <v>339</v>
      </c>
      <c r="D50" s="160">
        <v>9772</v>
      </c>
      <c r="E50" s="1"/>
    </row>
    <row r="51" spans="1:5" ht="12.75">
      <c r="A51" s="7" t="s">
        <v>250</v>
      </c>
      <c r="B51" s="7" t="s">
        <v>198</v>
      </c>
      <c r="C51" s="79">
        <v>82500274581</v>
      </c>
      <c r="D51" s="160">
        <v>1215276.44</v>
      </c>
      <c r="E51" s="12" t="s">
        <v>371</v>
      </c>
    </row>
    <row r="52" spans="1:5" ht="12.75">
      <c r="A52" s="7" t="s">
        <v>252</v>
      </c>
      <c r="B52" s="7" t="s">
        <v>198</v>
      </c>
      <c r="C52" s="79" t="s">
        <v>251</v>
      </c>
      <c r="D52" s="160">
        <v>1641326.5</v>
      </c>
      <c r="E52" s="1"/>
    </row>
    <row r="53" spans="1:5" ht="12.75">
      <c r="A53" s="7" t="s">
        <v>289</v>
      </c>
      <c r="B53" s="7" t="s">
        <v>198</v>
      </c>
      <c r="C53" s="79" t="s">
        <v>290</v>
      </c>
      <c r="D53" s="160">
        <v>72635238.65</v>
      </c>
      <c r="E53" s="1"/>
    </row>
    <row r="54" spans="1:5" ht="12.75">
      <c r="A54" s="7" t="s">
        <v>288</v>
      </c>
      <c r="B54" s="7" t="s">
        <v>198</v>
      </c>
      <c r="C54" s="79" t="s">
        <v>291</v>
      </c>
      <c r="D54" s="160">
        <v>2847841.16</v>
      </c>
      <c r="E54" s="1"/>
    </row>
    <row r="55" spans="1:5" ht="12.75">
      <c r="A55" s="7" t="s">
        <v>495</v>
      </c>
      <c r="B55" s="7" t="s">
        <v>494</v>
      </c>
      <c r="C55" s="79" t="s">
        <v>345</v>
      </c>
      <c r="D55" s="160">
        <v>64501.92</v>
      </c>
      <c r="E55" s="1"/>
    </row>
    <row r="56" spans="1:5" ht="12.75">
      <c r="A56" s="7" t="s">
        <v>357</v>
      </c>
      <c r="B56" s="7" t="s">
        <v>198</v>
      </c>
      <c r="C56" s="79" t="s">
        <v>358</v>
      </c>
      <c r="D56" s="160">
        <v>12872740.8</v>
      </c>
      <c r="E56" s="1"/>
    </row>
    <row r="57" spans="1:5" ht="12.75">
      <c r="A57" s="7" t="s">
        <v>369</v>
      </c>
      <c r="B57" s="7" t="s">
        <v>198</v>
      </c>
      <c r="C57" s="79" t="s">
        <v>363</v>
      </c>
      <c r="D57" s="160">
        <v>28023294.56</v>
      </c>
      <c r="E57" s="1"/>
    </row>
    <row r="58" spans="1:5" ht="12.75">
      <c r="A58" s="7" t="s">
        <v>436</v>
      </c>
      <c r="B58" s="7" t="s">
        <v>198</v>
      </c>
      <c r="C58" s="79" t="s">
        <v>437</v>
      </c>
      <c r="D58" s="160">
        <v>1546237.05</v>
      </c>
      <c r="E58" s="1"/>
    </row>
    <row r="59" spans="1:5" ht="9" customHeight="1">
      <c r="A59" s="1"/>
      <c r="B59" s="1"/>
      <c r="C59" s="1"/>
      <c r="D59" s="103"/>
      <c r="E59" s="1"/>
    </row>
    <row r="60" spans="1:5" ht="12.75">
      <c r="A60" s="8" t="s">
        <v>176</v>
      </c>
      <c r="B60" s="1"/>
      <c r="C60" s="3"/>
      <c r="D60" s="180">
        <f>SUM(D45:D59)</f>
        <v>148371621.22</v>
      </c>
      <c r="E60" s="1"/>
    </row>
    <row r="61" spans="1:5" ht="9" customHeight="1">
      <c r="A61" s="4"/>
      <c r="B61" s="4"/>
      <c r="C61" s="79"/>
      <c r="D61" s="184"/>
      <c r="E61" s="1"/>
    </row>
    <row r="62" spans="1:5" ht="13.5" thickBot="1">
      <c r="A62" s="4" t="s">
        <v>120</v>
      </c>
      <c r="B62" s="7"/>
      <c r="C62" s="10" t="s">
        <v>121</v>
      </c>
      <c r="D62" s="173">
        <f>SUM(D33+D41+D60)</f>
        <v>185316614.45999998</v>
      </c>
      <c r="E62" s="1"/>
    </row>
    <row r="63" ht="13.5" thickTop="1">
      <c r="A63" s="8" t="s">
        <v>29</v>
      </c>
    </row>
    <row r="64" ht="12.75">
      <c r="A64" s="19" t="s">
        <v>415</v>
      </c>
    </row>
    <row r="65" ht="12.75">
      <c r="A65" s="19" t="s">
        <v>294</v>
      </c>
    </row>
    <row r="66" ht="12.75">
      <c r="A66" s="19" t="s">
        <v>496</v>
      </c>
    </row>
    <row r="67" ht="12.75">
      <c r="A67" s="58" t="s">
        <v>386</v>
      </c>
    </row>
    <row r="68" ht="12.75">
      <c r="A68" s="19" t="s">
        <v>497</v>
      </c>
    </row>
    <row r="69" ht="12.75">
      <c r="A69" s="19" t="s">
        <v>498</v>
      </c>
    </row>
    <row r="70" ht="12.75">
      <c r="A70" s="19" t="s">
        <v>499</v>
      </c>
    </row>
    <row r="71" ht="12.75">
      <c r="A71" s="19"/>
    </row>
    <row r="72" ht="12.75">
      <c r="A72" s="84" t="s">
        <v>379</v>
      </c>
    </row>
    <row r="73" ht="12.75">
      <c r="A73" s="215"/>
    </row>
    <row r="74" spans="1:4" ht="12.75">
      <c r="A74" s="216" t="s">
        <v>376</v>
      </c>
      <c r="B74" s="7" t="s">
        <v>199</v>
      </c>
      <c r="C74" s="80" t="s">
        <v>375</v>
      </c>
      <c r="D74" s="160">
        <v>196422136.95</v>
      </c>
    </row>
    <row r="75" spans="1:4" ht="12.75">
      <c r="A75" s="84" t="s">
        <v>387</v>
      </c>
      <c r="B75" s="7" t="s">
        <v>199</v>
      </c>
      <c r="C75" s="80" t="s">
        <v>375</v>
      </c>
      <c r="D75" s="206">
        <v>37290.84</v>
      </c>
    </row>
    <row r="76" spans="1:4" ht="13.5" thickBot="1">
      <c r="A76" s="215"/>
      <c r="D76" s="255">
        <f>SUM(D74:D75)</f>
        <v>196459427.79</v>
      </c>
    </row>
    <row r="77" spans="1:4" ht="13.5" thickTop="1">
      <c r="A77" s="216" t="s">
        <v>380</v>
      </c>
      <c r="B77" s="207">
        <v>186948612.88</v>
      </c>
      <c r="D77" s="256"/>
    </row>
    <row r="78" spans="1:4" ht="12.75">
      <c r="A78" s="216" t="s">
        <v>381</v>
      </c>
      <c r="B78" s="207">
        <v>9654368.5</v>
      </c>
      <c r="D78" s="256"/>
    </row>
    <row r="79" spans="1:4" ht="12.75">
      <c r="A79" s="215" t="s">
        <v>481</v>
      </c>
      <c r="B79" s="207"/>
      <c r="D79" s="256"/>
    </row>
    <row r="80" spans="1:4" ht="12.75">
      <c r="A80" s="216" t="s">
        <v>382</v>
      </c>
      <c r="B80" s="223">
        <v>-143553.59</v>
      </c>
      <c r="D80" s="256"/>
    </row>
    <row r="81" spans="1:4" ht="13.5" thickBot="1">
      <c r="A81" s="215" t="s">
        <v>482</v>
      </c>
      <c r="B81" s="221"/>
      <c r="C81" s="208"/>
      <c r="D81" s="257">
        <f>SUM(B77:B81)</f>
        <v>196459427.79</v>
      </c>
    </row>
    <row r="82" spans="1:3" ht="13.5" thickTop="1">
      <c r="A82" s="215"/>
      <c r="B82" s="220"/>
      <c r="C82" s="218"/>
    </row>
  </sheetData>
  <mergeCells count="3">
    <mergeCell ref="A2:D2"/>
    <mergeCell ref="A3:D3"/>
    <mergeCell ref="A4:D4"/>
  </mergeCells>
  <printOptions/>
  <pageMargins left="0.7874015748031497" right="0.7874015748031497" top="0.7874015748031497" bottom="0.984251968503937" header="0" footer="0.3937007874015748"/>
  <pageSetup horizontalDpi="600" verticalDpi="600" orientation="portrait" r:id="rId1"/>
  <headerFooter alignWithMargins="0">
    <oddFooter>&amp;R&amp;P de 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workbookViewId="0" topLeftCell="A35">
      <selection activeCell="K75" sqref="K75"/>
    </sheetView>
  </sheetViews>
  <sheetFormatPr defaultColWidth="11.421875" defaultRowHeight="12.75"/>
  <cols>
    <col min="1" max="1" width="39.57421875" style="1" customWidth="1"/>
    <col min="2" max="5" width="14.421875" style="1" customWidth="1"/>
    <col min="6" max="6" width="6.8515625" style="1" customWidth="1"/>
    <col min="7" max="7" width="2.8515625" style="1" customWidth="1"/>
    <col min="8" max="8" width="4.7109375" style="1" customWidth="1"/>
    <col min="9" max="9" width="11.7109375" style="1" bestFit="1" customWidth="1"/>
    <col min="10" max="16384" width="11.421875" style="1" customWidth="1"/>
  </cols>
  <sheetData>
    <row r="1" spans="5:6" ht="12.75" customHeight="1">
      <c r="E1" s="284" t="s">
        <v>3</v>
      </c>
      <c r="F1" s="284"/>
    </row>
    <row r="2" spans="1:6" ht="12.75" customHeight="1">
      <c r="A2" s="283" t="s">
        <v>309</v>
      </c>
      <c r="B2" s="283"/>
      <c r="C2" s="283"/>
      <c r="D2" s="283"/>
      <c r="E2" s="283"/>
      <c r="F2" s="283"/>
    </row>
    <row r="3" spans="1:6" ht="12.75" customHeight="1">
      <c r="A3" s="283" t="s">
        <v>524</v>
      </c>
      <c r="B3" s="283"/>
      <c r="C3" s="283"/>
      <c r="D3" s="283"/>
      <c r="E3" s="283"/>
      <c r="F3" s="283"/>
    </row>
    <row r="4" spans="1:6" ht="12.75" customHeight="1">
      <c r="A4" s="283" t="s">
        <v>310</v>
      </c>
      <c r="B4" s="283"/>
      <c r="C4" s="283"/>
      <c r="D4" s="283"/>
      <c r="E4" s="283"/>
      <c r="F4" s="283"/>
    </row>
    <row r="5" spans="1:6" ht="12.75" customHeight="1">
      <c r="A5" s="283" t="s">
        <v>452</v>
      </c>
      <c r="B5" s="283"/>
      <c r="C5" s="283"/>
      <c r="D5" s="283"/>
      <c r="E5" s="283"/>
      <c r="F5" s="283"/>
    </row>
    <row r="6" spans="1:6" ht="18.75" customHeight="1">
      <c r="A6" s="75"/>
      <c r="B6" s="75"/>
      <c r="C6" s="75"/>
      <c r="D6" s="199"/>
      <c r="E6" s="75"/>
      <c r="F6" s="2"/>
    </row>
    <row r="7" spans="1:6" ht="26.25" customHeight="1">
      <c r="A7" s="244" t="s">
        <v>552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spans="1:6" ht="15.75" customHeight="1">
      <c r="A8" s="75"/>
      <c r="B8" s="75"/>
      <c r="C8" s="75"/>
      <c r="D8" s="75"/>
      <c r="E8" s="75"/>
      <c r="F8" s="2"/>
    </row>
    <row r="9" spans="1:8" ht="12.75">
      <c r="A9" s="1" t="s">
        <v>22</v>
      </c>
      <c r="B9" s="130">
        <v>227275401.54</v>
      </c>
      <c r="C9" s="129">
        <f>73970057+83827453.66</f>
        <v>157797510.66</v>
      </c>
      <c r="D9" s="130">
        <f>100000000+270424000+26314000</f>
        <v>396738000</v>
      </c>
      <c r="E9" s="129">
        <f>SUM(B9:D9)</f>
        <v>781810912.2</v>
      </c>
      <c r="F9" s="131">
        <f>E9/E20*100</f>
        <v>61.70583904815786</v>
      </c>
      <c r="G9" s="10" t="s">
        <v>23</v>
      </c>
      <c r="H9" s="9"/>
    </row>
    <row r="10" spans="1:8" ht="12.75">
      <c r="A10" s="1" t="s">
        <v>329</v>
      </c>
      <c r="B10" s="130">
        <f>4827093+6434887</f>
        <v>11261980</v>
      </c>
      <c r="C10" s="129">
        <f>20284.9+34313.73+33078.43+97568.62+29901.96+186333.33+95853.08+32362.61+185862.75+148647.06+71286.83+16132.31+37996.53+850580.01</f>
        <v>1840202.15</v>
      </c>
      <c r="D10" s="130">
        <f>1165145.55+539772.94+400975.11+432286.01+2129869.03</f>
        <v>4668048.640000001</v>
      </c>
      <c r="E10" s="129">
        <f>SUM(B10:D10)</f>
        <v>17770230.79</v>
      </c>
      <c r="F10" s="131">
        <f>E10/E20*100</f>
        <v>1.4025475775091887</v>
      </c>
      <c r="G10" s="10" t="s">
        <v>24</v>
      </c>
      <c r="H10" s="9"/>
    </row>
    <row r="11" spans="1:8" ht="12.75">
      <c r="A11" s="1" t="s">
        <v>353</v>
      </c>
      <c r="B11" s="129">
        <v>1589361</v>
      </c>
      <c r="C11" s="129">
        <f>50000000+500000+100000000</f>
        <v>150500000</v>
      </c>
      <c r="D11" s="130">
        <v>27000000</v>
      </c>
      <c r="E11" s="129">
        <f>SUM(B11:D11)</f>
        <v>179089361</v>
      </c>
      <c r="F11" s="131">
        <f>E11/E20*100</f>
        <v>14.134951447539338</v>
      </c>
      <c r="G11" s="10" t="s">
        <v>27</v>
      </c>
      <c r="H11" s="9"/>
    </row>
    <row r="12" spans="2:8" ht="6.75" customHeight="1">
      <c r="B12" s="132"/>
      <c r="C12" s="132"/>
      <c r="D12" s="133"/>
      <c r="E12" s="132"/>
      <c r="F12" s="134"/>
      <c r="G12" s="3"/>
      <c r="H12" s="15"/>
    </row>
    <row r="13" spans="1:8" ht="12.75">
      <c r="A13" s="91" t="s">
        <v>25</v>
      </c>
      <c r="B13" s="133">
        <f>SUM(B9:B12)</f>
        <v>240126742.54</v>
      </c>
      <c r="C13" s="133">
        <f>SUM(C9:C12)</f>
        <v>310137712.81</v>
      </c>
      <c r="D13" s="133">
        <f>SUM(D9:D12)</f>
        <v>428406048.64</v>
      </c>
      <c r="E13" s="133">
        <f>SUM(E9:E12)</f>
        <v>978670503.99</v>
      </c>
      <c r="F13" s="133">
        <f>SUM(F9:F12)</f>
        <v>77.24333807320639</v>
      </c>
      <c r="G13" s="3"/>
      <c r="H13" s="15"/>
    </row>
    <row r="14" spans="2:8" ht="6" customHeight="1">
      <c r="B14" s="130"/>
      <c r="C14" s="130"/>
      <c r="D14" s="130"/>
      <c r="E14" s="135"/>
      <c r="F14" s="136"/>
      <c r="G14" s="3"/>
      <c r="H14" s="15"/>
    </row>
    <row r="15" spans="1:8" ht="12.75">
      <c r="A15" s="6" t="s">
        <v>26</v>
      </c>
      <c r="B15" s="130">
        <v>24274725</v>
      </c>
      <c r="C15" s="130">
        <v>149051418.75</v>
      </c>
      <c r="D15" s="130">
        <v>65000000</v>
      </c>
      <c r="E15" s="135">
        <f>SUM(B15:D15)</f>
        <v>238326143.75</v>
      </c>
      <c r="F15" s="136">
        <f>E15/E20*100</f>
        <v>18.810321572287762</v>
      </c>
      <c r="G15" s="10" t="s">
        <v>257</v>
      </c>
      <c r="H15" s="9"/>
    </row>
    <row r="16" spans="1:8" ht="12.75">
      <c r="A16" s="6" t="s">
        <v>491</v>
      </c>
      <c r="B16" s="130"/>
      <c r="C16" s="130">
        <v>50000000</v>
      </c>
      <c r="D16" s="130"/>
      <c r="E16" s="135">
        <f>SUM(B16:D16)</f>
        <v>50000000</v>
      </c>
      <c r="F16" s="136">
        <f>E16/E20*100</f>
        <v>3.946340354505854</v>
      </c>
      <c r="G16" s="10" t="s">
        <v>258</v>
      </c>
      <c r="H16" s="9"/>
    </row>
    <row r="17" spans="1:7" ht="6.75" customHeight="1">
      <c r="A17" s="6"/>
      <c r="B17" s="133"/>
      <c r="C17" s="133"/>
      <c r="D17" s="133"/>
      <c r="E17" s="132"/>
      <c r="F17" s="134"/>
      <c r="G17" s="9"/>
    </row>
    <row r="18" spans="1:7" ht="12.75">
      <c r="A18" s="91" t="s">
        <v>28</v>
      </c>
      <c r="B18" s="130">
        <f>SUM(B15:B17)</f>
        <v>24274725</v>
      </c>
      <c r="C18" s="130">
        <f>SUM(C15:C17)</f>
        <v>199051418.75</v>
      </c>
      <c r="D18" s="130">
        <f>SUM(D15:D17)</f>
        <v>65000000</v>
      </c>
      <c r="E18" s="130">
        <f>SUM(E15:E17)</f>
        <v>288326143.75</v>
      </c>
      <c r="F18" s="130">
        <f>SUM(F15:F17)</f>
        <v>22.756661926793615</v>
      </c>
      <c r="G18" s="15"/>
    </row>
    <row r="19" spans="1:6" ht="6.75" customHeight="1">
      <c r="A19" s="6"/>
      <c r="B19" s="130"/>
      <c r="C19" s="130"/>
      <c r="D19" s="130"/>
      <c r="E19" s="135"/>
      <c r="F19" s="136"/>
    </row>
    <row r="20" spans="1:6" ht="13.5" thickBot="1">
      <c r="A20" s="91" t="s">
        <v>178</v>
      </c>
      <c r="B20" s="137">
        <f>B13+B18</f>
        <v>264401467.54</v>
      </c>
      <c r="C20" s="137">
        <f>C13+C18</f>
        <v>509189131.56</v>
      </c>
      <c r="D20" s="137">
        <f>D13+D18</f>
        <v>493406048.64</v>
      </c>
      <c r="E20" s="243">
        <f>E13+E18</f>
        <v>1266996647.74</v>
      </c>
      <c r="F20" s="138">
        <f>F13+F18</f>
        <v>100</v>
      </c>
    </row>
    <row r="21" spans="1:6" ht="6.75" customHeight="1" thickTop="1">
      <c r="A21" s="4"/>
      <c r="B21" s="139"/>
      <c r="C21" s="139"/>
      <c r="D21" s="139"/>
      <c r="E21" s="139"/>
      <c r="F21" s="139"/>
    </row>
    <row r="22" spans="1:6" ht="12.75" customHeight="1">
      <c r="A22" s="4"/>
      <c r="B22" s="139"/>
      <c r="C22" s="139"/>
      <c r="D22" s="139"/>
      <c r="E22" s="204"/>
      <c r="F22" s="139"/>
    </row>
    <row r="23" spans="1:6" ht="12.75" customHeight="1">
      <c r="A23" s="4"/>
      <c r="B23" s="14"/>
      <c r="C23" s="14"/>
      <c r="D23" s="204"/>
      <c r="E23" s="204"/>
      <c r="F23" s="14"/>
    </row>
    <row r="24" spans="1:7" ht="13.5" customHeight="1">
      <c r="A24" s="84" t="s">
        <v>29</v>
      </c>
      <c r="B24" s="20"/>
      <c r="C24" s="20"/>
      <c r="D24" s="210"/>
      <c r="F24" s="20"/>
      <c r="G24" s="20"/>
    </row>
    <row r="25" spans="1:7" ht="2.25" customHeight="1">
      <c r="A25" s="84"/>
      <c r="B25" s="20"/>
      <c r="C25" s="20"/>
      <c r="D25" s="210"/>
      <c r="F25" s="20"/>
      <c r="G25" s="20"/>
    </row>
    <row r="26" spans="1:7" ht="13.5" customHeight="1">
      <c r="A26" s="12" t="s">
        <v>526</v>
      </c>
      <c r="B26" s="20"/>
      <c r="C26" s="20"/>
      <c r="D26" s="210"/>
      <c r="E26" s="38"/>
      <c r="F26" s="20"/>
      <c r="G26" s="20"/>
    </row>
    <row r="27" spans="1:7" ht="12.75" customHeight="1">
      <c r="A27" s="11" t="s">
        <v>527</v>
      </c>
      <c r="B27" s="238"/>
      <c r="C27" s="238"/>
      <c r="D27" s="238"/>
      <c r="E27" s="158">
        <v>185831283.54</v>
      </c>
      <c r="G27" s="85"/>
    </row>
    <row r="28" spans="1:7" ht="12.75" customHeight="1">
      <c r="A28" s="11" t="s">
        <v>528</v>
      </c>
      <c r="B28" s="238"/>
      <c r="C28" s="238"/>
      <c r="D28" s="238"/>
      <c r="E28" s="158">
        <v>29359831</v>
      </c>
      <c r="G28" s="85"/>
    </row>
    <row r="29" spans="1:7" ht="12.75" customHeight="1">
      <c r="A29" s="9" t="s">
        <v>562</v>
      </c>
      <c r="B29" s="238"/>
      <c r="C29" s="238"/>
      <c r="D29" s="239"/>
      <c r="E29" s="158">
        <f>2168888+9915399</f>
        <v>12084287</v>
      </c>
      <c r="G29" s="85"/>
    </row>
    <row r="30" spans="1:7" ht="3.75" customHeight="1">
      <c r="A30" s="9"/>
      <c r="B30" s="238"/>
      <c r="C30" s="238"/>
      <c r="D30" s="158"/>
      <c r="E30" s="38"/>
      <c r="G30" s="3"/>
    </row>
    <row r="31" spans="1:7" ht="13.5" customHeight="1">
      <c r="A31" s="9" t="s">
        <v>538</v>
      </c>
      <c r="B31" s="238"/>
      <c r="C31" s="238"/>
      <c r="D31" s="158"/>
      <c r="E31" s="38"/>
      <c r="G31" s="3"/>
    </row>
    <row r="32" spans="1:7" ht="12.75" customHeight="1">
      <c r="A32" s="11" t="s">
        <v>541</v>
      </c>
      <c r="B32" s="238"/>
      <c r="C32" s="238"/>
      <c r="D32" s="240"/>
      <c r="E32" s="158">
        <v>83827453.66</v>
      </c>
      <c r="G32" s="85"/>
    </row>
    <row r="33" spans="1:7" ht="12.75" customHeight="1">
      <c r="A33" s="11" t="s">
        <v>529</v>
      </c>
      <c r="B33" s="238"/>
      <c r="C33" s="238"/>
      <c r="D33" s="238"/>
      <c r="E33" s="158">
        <v>73970057</v>
      </c>
      <c r="G33" s="85"/>
    </row>
    <row r="34" spans="1:7" ht="3.75" customHeight="1">
      <c r="A34" s="9"/>
      <c r="B34" s="238"/>
      <c r="C34" s="238"/>
      <c r="D34" s="158"/>
      <c r="E34" s="38"/>
      <c r="G34" s="3"/>
    </row>
    <row r="35" spans="1:7" ht="13.5" customHeight="1">
      <c r="A35" s="9" t="s">
        <v>539</v>
      </c>
      <c r="B35" s="238"/>
      <c r="C35" s="238"/>
      <c r="D35" s="158"/>
      <c r="E35" s="38"/>
      <c r="G35" s="3"/>
    </row>
    <row r="36" spans="1:7" ht="12.75" customHeight="1">
      <c r="A36" s="11" t="s">
        <v>540</v>
      </c>
      <c r="B36" s="238"/>
      <c r="C36" s="238"/>
      <c r="D36" s="240"/>
      <c r="E36" s="158">
        <v>100000000</v>
      </c>
      <c r="G36" s="85"/>
    </row>
    <row r="37" spans="1:7" ht="12.75" customHeight="1">
      <c r="A37" s="11" t="s">
        <v>530</v>
      </c>
      <c r="B37" s="238"/>
      <c r="C37" s="238"/>
      <c r="D37" s="238"/>
      <c r="E37" s="158">
        <v>270424000</v>
      </c>
      <c r="G37" s="85"/>
    </row>
    <row r="38" spans="1:7" ht="12.75" customHeight="1">
      <c r="A38" s="11" t="s">
        <v>531</v>
      </c>
      <c r="B38" s="238"/>
      <c r="C38" s="238"/>
      <c r="D38" s="238"/>
      <c r="E38" s="158">
        <v>26314000</v>
      </c>
      <c r="G38" s="85"/>
    </row>
    <row r="39" spans="1:7" ht="10.5" customHeight="1">
      <c r="A39" s="38"/>
      <c r="B39" s="238"/>
      <c r="C39" s="238"/>
      <c r="D39" s="238"/>
      <c r="E39" s="158"/>
      <c r="G39" s="85"/>
    </row>
    <row r="40" spans="1:7" ht="13.5" customHeight="1">
      <c r="A40" s="12" t="s">
        <v>544</v>
      </c>
      <c r="B40" s="238"/>
      <c r="C40" s="238"/>
      <c r="D40" s="238"/>
      <c r="E40" s="158"/>
      <c r="G40" s="85"/>
    </row>
    <row r="41" spans="1:7" ht="12.75" customHeight="1">
      <c r="A41" s="11" t="s">
        <v>543</v>
      </c>
      <c r="B41" s="238"/>
      <c r="C41" s="238"/>
      <c r="D41" s="238"/>
      <c r="E41" s="158">
        <f>1678387+491043+51828+1719694+189932+848368+640407+815228</f>
        <v>6434887</v>
      </c>
      <c r="G41" s="85"/>
    </row>
    <row r="42" spans="1:7" ht="12.75" customHeight="1">
      <c r="A42" s="11" t="s">
        <v>563</v>
      </c>
      <c r="B42" s="238"/>
      <c r="C42" s="238"/>
      <c r="D42" s="238"/>
      <c r="E42" s="158">
        <v>4827093</v>
      </c>
      <c r="G42" s="85"/>
    </row>
    <row r="43" spans="1:7" ht="3.75" customHeight="1">
      <c r="A43" s="9"/>
      <c r="B43" s="238"/>
      <c r="C43" s="238"/>
      <c r="D43" s="158"/>
      <c r="E43" s="38"/>
      <c r="G43" s="3"/>
    </row>
    <row r="44" spans="1:7" ht="13.5" customHeight="1">
      <c r="A44" s="9" t="s">
        <v>538</v>
      </c>
      <c r="B44" s="238"/>
      <c r="C44" s="238"/>
      <c r="D44" s="158"/>
      <c r="E44" s="38"/>
      <c r="G44" s="3"/>
    </row>
    <row r="45" spans="1:7" ht="12.75" customHeight="1">
      <c r="A45" s="9" t="s">
        <v>564</v>
      </c>
      <c r="B45" s="38"/>
      <c r="C45" s="238"/>
      <c r="D45" s="238"/>
      <c r="E45" s="158">
        <f>20284.9+71286.83+16132.31+37996.53+264910.99+51982.27+75007.35+229339.7+229339.7</f>
        <v>996280.5800000001</v>
      </c>
      <c r="G45" s="85"/>
    </row>
    <row r="46" spans="1:7" ht="12.75" customHeight="1">
      <c r="A46" s="11" t="s">
        <v>565</v>
      </c>
      <c r="B46" s="238"/>
      <c r="C46" s="238"/>
      <c r="D46" s="238"/>
      <c r="E46" s="158">
        <f>34313.73+33078.43+97568.62+29901.96+186333.33+95853.08+32362.61+185862.75+148647.06</f>
        <v>843921.5700000001</v>
      </c>
      <c r="G46" s="85"/>
    </row>
    <row r="47" spans="1:7" ht="3.75" customHeight="1">
      <c r="A47" s="9"/>
      <c r="B47" s="238"/>
      <c r="C47" s="238"/>
      <c r="D47" s="158"/>
      <c r="E47" s="38"/>
      <c r="G47" s="3"/>
    </row>
    <row r="48" spans="1:7" ht="13.5" customHeight="1">
      <c r="A48" s="9" t="s">
        <v>547</v>
      </c>
      <c r="B48" s="238"/>
      <c r="C48" s="238"/>
      <c r="D48" s="158"/>
      <c r="E48" s="38"/>
      <c r="G48" s="3"/>
    </row>
    <row r="49" spans="1:9" ht="12.75" customHeight="1">
      <c r="A49" s="11" t="s">
        <v>566</v>
      </c>
      <c r="B49" s="238"/>
      <c r="C49" s="238"/>
      <c r="D49" s="238"/>
      <c r="E49" s="158">
        <v>4668048.64</v>
      </c>
      <c r="G49" s="85"/>
      <c r="I49" s="103"/>
    </row>
    <row r="50" spans="1:7" ht="10.5" customHeight="1">
      <c r="A50" s="38"/>
      <c r="B50" s="238"/>
      <c r="C50" s="238"/>
      <c r="D50" s="238"/>
      <c r="E50" s="158"/>
      <c r="G50" s="85"/>
    </row>
    <row r="51" spans="1:7" ht="13.5" customHeight="1">
      <c r="A51" s="12" t="s">
        <v>546</v>
      </c>
      <c r="B51" s="238"/>
      <c r="C51" s="238"/>
      <c r="D51" s="238"/>
      <c r="E51" s="158"/>
      <c r="G51" s="85"/>
    </row>
    <row r="52" spans="1:7" ht="12.75" customHeight="1">
      <c r="A52" s="9" t="s">
        <v>542</v>
      </c>
      <c r="B52" s="238"/>
      <c r="C52" s="238"/>
      <c r="D52" s="238"/>
      <c r="E52" s="158"/>
      <c r="G52" s="85"/>
    </row>
    <row r="53" spans="1:7" ht="12.75" customHeight="1">
      <c r="A53" s="9" t="s">
        <v>545</v>
      </c>
      <c r="B53" s="238"/>
      <c r="C53" s="238"/>
      <c r="D53" s="238"/>
      <c r="E53" s="158">
        <v>1589361</v>
      </c>
      <c r="G53" s="85"/>
    </row>
    <row r="54" spans="1:7" ht="3.75" customHeight="1">
      <c r="A54" s="9"/>
      <c r="B54" s="85"/>
      <c r="C54" s="85"/>
      <c r="D54" s="85"/>
      <c r="E54" s="158"/>
      <c r="G54" s="3"/>
    </row>
    <row r="55" spans="1:7" ht="12.75" customHeight="1">
      <c r="A55" s="9" t="s">
        <v>538</v>
      </c>
      <c r="B55" s="238"/>
      <c r="C55" s="238"/>
      <c r="D55" s="238"/>
      <c r="E55" s="158"/>
      <c r="G55" s="85"/>
    </row>
    <row r="56" spans="1:7" ht="12.75" customHeight="1">
      <c r="A56" s="11" t="s">
        <v>567</v>
      </c>
      <c r="B56" s="238"/>
      <c r="C56" s="238"/>
      <c r="D56" s="238"/>
      <c r="E56" s="158">
        <f>50000000+100000000</f>
        <v>150000000</v>
      </c>
      <c r="G56" s="85"/>
    </row>
    <row r="57" spans="1:7" ht="12.75" customHeight="1">
      <c r="A57" s="11" t="s">
        <v>548</v>
      </c>
      <c r="B57" s="238"/>
      <c r="C57" s="238"/>
      <c r="D57" s="238"/>
      <c r="E57" s="158">
        <v>500000</v>
      </c>
      <c r="G57" s="85"/>
    </row>
    <row r="58" spans="1:7" ht="3.75" customHeight="1">
      <c r="A58" s="9"/>
      <c r="B58" s="85"/>
      <c r="C58" s="85"/>
      <c r="D58" s="85"/>
      <c r="E58" s="158"/>
      <c r="G58" s="3"/>
    </row>
    <row r="59" spans="1:7" ht="12.75" customHeight="1">
      <c r="A59" s="9" t="s">
        <v>550</v>
      </c>
      <c r="B59" s="238"/>
      <c r="C59" s="238"/>
      <c r="D59" s="238"/>
      <c r="E59" s="158"/>
      <c r="G59" s="85"/>
    </row>
    <row r="60" spans="1:7" ht="12.75" customHeight="1">
      <c r="A60" s="11" t="s">
        <v>568</v>
      </c>
      <c r="B60" s="238"/>
      <c r="C60" s="238"/>
      <c r="D60" s="238"/>
      <c r="E60" s="158">
        <v>27000000</v>
      </c>
      <c r="G60" s="85"/>
    </row>
    <row r="61" spans="1:7" ht="10.5" customHeight="1">
      <c r="A61" s="38"/>
      <c r="B61" s="238"/>
      <c r="C61" s="238"/>
      <c r="D61" s="238"/>
      <c r="E61" s="158"/>
      <c r="G61" s="85"/>
    </row>
    <row r="62" spans="1:7" ht="13.5" customHeight="1">
      <c r="A62" s="12" t="s">
        <v>549</v>
      </c>
      <c r="B62" s="238"/>
      <c r="C62" s="238"/>
      <c r="D62" s="238"/>
      <c r="E62" s="158"/>
      <c r="G62" s="85"/>
    </row>
    <row r="63" spans="1:7" ht="12.75" customHeight="1">
      <c r="A63" s="9" t="s">
        <v>569</v>
      </c>
      <c r="B63" s="38"/>
      <c r="C63" s="238"/>
      <c r="D63" s="238"/>
      <c r="E63" s="158">
        <v>9389494</v>
      </c>
      <c r="G63" s="85"/>
    </row>
    <row r="64" spans="1:7" ht="12.75" customHeight="1">
      <c r="A64" s="11" t="s">
        <v>532</v>
      </c>
      <c r="B64" s="238"/>
      <c r="C64" s="238"/>
      <c r="D64" s="238"/>
      <c r="E64" s="158">
        <v>14885231</v>
      </c>
      <c r="G64" s="85"/>
    </row>
    <row r="65" spans="1:7" ht="3.75" customHeight="1">
      <c r="A65" s="9"/>
      <c r="B65" s="85"/>
      <c r="C65" s="85"/>
      <c r="D65" s="85"/>
      <c r="E65" s="158"/>
      <c r="G65" s="3"/>
    </row>
    <row r="66" spans="1:7" ht="12.75" customHeight="1">
      <c r="A66" s="9" t="s">
        <v>538</v>
      </c>
      <c r="B66" s="238"/>
      <c r="C66" s="238"/>
      <c r="D66" s="238"/>
      <c r="E66" s="158"/>
      <c r="G66" s="85"/>
    </row>
    <row r="67" spans="1:7" ht="12.75" customHeight="1">
      <c r="A67" s="11" t="s">
        <v>570</v>
      </c>
      <c r="B67" s="9"/>
      <c r="C67" s="9"/>
      <c r="D67" s="9"/>
      <c r="E67" s="158">
        <v>56556949</v>
      </c>
      <c r="G67" s="9"/>
    </row>
    <row r="68" spans="1:7" ht="12.75" customHeight="1">
      <c r="A68" s="11" t="s">
        <v>533</v>
      </c>
      <c r="B68" s="38"/>
      <c r="C68" s="9"/>
      <c r="D68" s="9"/>
      <c r="E68" s="158">
        <v>14885239</v>
      </c>
      <c r="G68" s="9"/>
    </row>
    <row r="69" spans="1:7" ht="12.75" customHeight="1">
      <c r="A69" s="11" t="s">
        <v>534</v>
      </c>
      <c r="B69" s="9"/>
      <c r="C69" s="9"/>
      <c r="D69" s="9"/>
      <c r="E69" s="158">
        <v>17053994.24</v>
      </c>
      <c r="G69" s="9"/>
    </row>
    <row r="70" spans="1:7" ht="12.75" customHeight="1">
      <c r="A70" s="11" t="s">
        <v>535</v>
      </c>
      <c r="B70" s="9"/>
      <c r="C70" s="9"/>
      <c r="D70" s="9"/>
      <c r="E70" s="158">
        <v>45428647.54</v>
      </c>
      <c r="G70" s="9"/>
    </row>
    <row r="71" spans="1:7" ht="12.75" customHeight="1">
      <c r="A71" s="11" t="s">
        <v>536</v>
      </c>
      <c r="B71" s="9"/>
      <c r="C71" s="9"/>
      <c r="D71" s="9"/>
      <c r="E71" s="158">
        <v>1711736.14</v>
      </c>
      <c r="G71" s="9"/>
    </row>
    <row r="72" spans="1:7" ht="12.75" customHeight="1">
      <c r="A72" s="11" t="s">
        <v>537</v>
      </c>
      <c r="B72" s="9"/>
      <c r="C72" s="9"/>
      <c r="D72" s="9"/>
      <c r="E72" s="158">
        <v>13414852.83</v>
      </c>
      <c r="G72" s="9"/>
    </row>
    <row r="73" spans="1:7" ht="3.75" customHeight="1">
      <c r="A73" s="9"/>
      <c r="B73" s="85"/>
      <c r="C73" s="85"/>
      <c r="D73" s="85"/>
      <c r="E73" s="158"/>
      <c r="G73" s="3"/>
    </row>
    <row r="74" spans="1:7" ht="12.75" customHeight="1">
      <c r="A74" s="9" t="s">
        <v>539</v>
      </c>
      <c r="B74" s="9"/>
      <c r="C74" s="9"/>
      <c r="D74" s="9"/>
      <c r="E74" s="158"/>
      <c r="G74" s="9"/>
    </row>
    <row r="75" spans="1:7" ht="12.75" customHeight="1">
      <c r="A75" s="11" t="s">
        <v>571</v>
      </c>
      <c r="B75" s="9"/>
      <c r="C75" s="9"/>
      <c r="D75" s="9"/>
      <c r="E75" s="158">
        <v>65000000</v>
      </c>
      <c r="G75" s="9"/>
    </row>
    <row r="76" spans="1:7" ht="10.5" customHeight="1">
      <c r="A76" s="11"/>
      <c r="B76" s="9"/>
      <c r="C76" s="9"/>
      <c r="D76" s="9"/>
      <c r="E76" s="158"/>
      <c r="G76" s="9"/>
    </row>
    <row r="77" spans="1:7" ht="10.5" customHeight="1">
      <c r="A77" s="12" t="s">
        <v>551</v>
      </c>
      <c r="B77" s="9"/>
      <c r="C77" s="9"/>
      <c r="D77" s="9"/>
      <c r="E77" s="158"/>
      <c r="G77" s="9"/>
    </row>
    <row r="78" spans="1:7" ht="12.75" customHeight="1">
      <c r="A78" s="11" t="s">
        <v>572</v>
      </c>
      <c r="B78" s="9"/>
      <c r="C78" s="9"/>
      <c r="D78" s="9"/>
      <c r="E78" s="158">
        <v>50000000</v>
      </c>
      <c r="G78" s="9"/>
    </row>
    <row r="79" spans="1:7" ht="7.5" customHeight="1">
      <c r="A79" s="38"/>
      <c r="B79" s="9"/>
      <c r="C79" s="9"/>
      <c r="D79" s="9"/>
      <c r="E79" s="241"/>
      <c r="G79" s="9"/>
    </row>
    <row r="80" spans="1:7" ht="13.5" thickBot="1">
      <c r="A80" s="11"/>
      <c r="B80" s="11"/>
      <c r="C80" s="11"/>
      <c r="D80" s="9"/>
      <c r="E80" s="262">
        <f>SUM(E27:E79)</f>
        <v>1266996647.7400002</v>
      </c>
      <c r="G80" s="11"/>
    </row>
    <row r="81" spans="1:7" ht="13.5" thickTop="1">
      <c r="A81" s="11"/>
      <c r="B81" s="11"/>
      <c r="C81" s="11"/>
      <c r="D81" s="11"/>
      <c r="E81" s="11"/>
      <c r="F81" s="158"/>
      <c r="G81" s="11"/>
    </row>
    <row r="82" spans="1:6" ht="12.75">
      <c r="A82" s="242"/>
      <c r="B82" s="38"/>
      <c r="C82" s="38"/>
      <c r="D82" s="38"/>
      <c r="E82" s="38"/>
      <c r="F82" s="158"/>
    </row>
    <row r="83" spans="1:6" ht="12.75">
      <c r="A83" s="242"/>
      <c r="B83" s="38"/>
      <c r="C83" s="38"/>
      <c r="D83" s="38"/>
      <c r="E83" s="38"/>
      <c r="F83" s="158"/>
    </row>
    <row r="84" spans="1:6" ht="12.75">
      <c r="A84" s="242"/>
      <c r="B84" s="38"/>
      <c r="C84" s="38"/>
      <c r="D84" s="38"/>
      <c r="E84" s="38"/>
      <c r="F84" s="158"/>
    </row>
    <row r="85" spans="1:6" ht="12.75">
      <c r="A85" s="242"/>
      <c r="B85" s="38"/>
      <c r="C85" s="38"/>
      <c r="D85" s="38"/>
      <c r="E85" s="38"/>
      <c r="F85" s="158"/>
    </row>
    <row r="86" spans="1:6" ht="12.75">
      <c r="A86" s="38"/>
      <c r="B86" s="38"/>
      <c r="C86" s="38"/>
      <c r="D86" s="38"/>
      <c r="E86" s="38"/>
      <c r="F86" s="158"/>
    </row>
    <row r="87" spans="1:6" ht="12.75">
      <c r="A87" s="38"/>
      <c r="B87" s="38"/>
      <c r="C87" s="38"/>
      <c r="D87" s="38"/>
      <c r="E87" s="38"/>
      <c r="F87" s="158"/>
    </row>
    <row r="88" spans="1:6" ht="12.75">
      <c r="A88" s="38"/>
      <c r="B88" s="38"/>
      <c r="C88" s="38"/>
      <c r="D88" s="38"/>
      <c r="E88" s="38"/>
      <c r="F88" s="158"/>
    </row>
    <row r="89" spans="1:6" ht="12.75">
      <c r="A89" s="38"/>
      <c r="B89" s="38"/>
      <c r="C89" s="38"/>
      <c r="D89" s="38"/>
      <c r="E89" s="38"/>
      <c r="F89" s="158"/>
    </row>
    <row r="90" spans="1:6" ht="12.75">
      <c r="A90" s="38"/>
      <c r="B90" s="38"/>
      <c r="C90" s="38"/>
      <c r="D90" s="38"/>
      <c r="E90" s="38"/>
      <c r="F90" s="158"/>
    </row>
    <row r="91" spans="1:6" ht="12.75">
      <c r="A91" s="38"/>
      <c r="B91" s="38"/>
      <c r="C91" s="38"/>
      <c r="D91" s="38"/>
      <c r="E91" s="38"/>
      <c r="F91" s="158"/>
    </row>
    <row r="92" spans="1:6" ht="12.75">
      <c r="A92" s="38"/>
      <c r="B92" s="38"/>
      <c r="C92" s="38"/>
      <c r="D92" s="38"/>
      <c r="E92" s="38"/>
      <c r="F92" s="38"/>
    </row>
    <row r="93" spans="1:6" ht="12.75">
      <c r="A93" s="38"/>
      <c r="B93" s="38"/>
      <c r="C93" s="38"/>
      <c r="D93" s="38"/>
      <c r="E93" s="38"/>
      <c r="F93" s="38"/>
    </row>
    <row r="94" spans="1:6" ht="12.75">
      <c r="A94" s="38"/>
      <c r="B94" s="38"/>
      <c r="C94" s="38"/>
      <c r="D94" s="38"/>
      <c r="E94" s="38"/>
      <c r="F94" s="38"/>
    </row>
    <row r="95" spans="1:6" ht="12.75">
      <c r="A95" s="38"/>
      <c r="B95" s="38"/>
      <c r="C95" s="38"/>
      <c r="D95" s="38"/>
      <c r="E95" s="38"/>
      <c r="F95" s="38"/>
    </row>
    <row r="96" spans="1:6" ht="12.75">
      <c r="A96" s="38"/>
      <c r="B96" s="38"/>
      <c r="C96" s="38"/>
      <c r="D96" s="38"/>
      <c r="E96" s="38"/>
      <c r="F96" s="38"/>
    </row>
    <row r="97" spans="1:6" ht="12.75">
      <c r="A97" s="38"/>
      <c r="B97" s="38"/>
      <c r="C97" s="38"/>
      <c r="D97" s="38"/>
      <c r="E97" s="38"/>
      <c r="F97" s="38"/>
    </row>
    <row r="98" spans="1:6" ht="12.75">
      <c r="A98" s="38"/>
      <c r="B98" s="38"/>
      <c r="C98" s="38"/>
      <c r="D98" s="38"/>
      <c r="E98" s="38"/>
      <c r="F98" s="38"/>
    </row>
    <row r="99" spans="1:6" ht="12.75">
      <c r="A99" s="38"/>
      <c r="B99" s="38"/>
      <c r="C99" s="38"/>
      <c r="D99" s="38"/>
      <c r="E99" s="38"/>
      <c r="F99" s="38"/>
    </row>
    <row r="100" spans="1:6" ht="12.75">
      <c r="A100" s="38"/>
      <c r="B100" s="38"/>
      <c r="C100" s="38"/>
      <c r="D100" s="38"/>
      <c r="E100" s="38"/>
      <c r="F100" s="38"/>
    </row>
    <row r="101" spans="1:6" ht="12.75">
      <c r="A101" s="38"/>
      <c r="B101" s="38"/>
      <c r="C101" s="38"/>
      <c r="D101" s="38"/>
      <c r="E101" s="38"/>
      <c r="F101" s="38"/>
    </row>
    <row r="102" spans="1:6" ht="12.75">
      <c r="A102" s="38"/>
      <c r="B102" s="38"/>
      <c r="C102" s="38"/>
      <c r="D102" s="38"/>
      <c r="E102" s="38"/>
      <c r="F102" s="38"/>
    </row>
    <row r="103" spans="1:6" ht="12.75">
      <c r="A103" s="38"/>
      <c r="B103" s="38"/>
      <c r="C103" s="38"/>
      <c r="D103" s="38"/>
      <c r="E103" s="38"/>
      <c r="F103" s="38"/>
    </row>
    <row r="104" spans="1:6" ht="12.75">
      <c r="A104" s="38"/>
      <c r="B104" s="38"/>
      <c r="C104" s="38"/>
      <c r="D104" s="38"/>
      <c r="E104" s="38"/>
      <c r="F104" s="38"/>
    </row>
    <row r="105" spans="1:6" ht="12.75">
      <c r="A105" s="38"/>
      <c r="B105" s="38"/>
      <c r="C105" s="38"/>
      <c r="D105" s="38"/>
      <c r="E105" s="38"/>
      <c r="F105" s="38"/>
    </row>
    <row r="106" spans="1:6" ht="12.75">
      <c r="A106" s="38"/>
      <c r="B106" s="38"/>
      <c r="C106" s="38"/>
      <c r="D106" s="38"/>
      <c r="E106" s="38"/>
      <c r="F106" s="38"/>
    </row>
    <row r="107" spans="1:6" ht="12.75">
      <c r="A107" s="38"/>
      <c r="B107" s="38"/>
      <c r="C107" s="38"/>
      <c r="D107" s="38"/>
      <c r="E107" s="38"/>
      <c r="F107" s="38"/>
    </row>
    <row r="108" spans="1:6" ht="12.75">
      <c r="A108" s="38"/>
      <c r="B108" s="38"/>
      <c r="C108" s="38"/>
      <c r="D108" s="38"/>
      <c r="E108" s="38"/>
      <c r="F108" s="38"/>
    </row>
    <row r="109" spans="1:6" ht="12.75">
      <c r="A109" s="38"/>
      <c r="B109" s="38"/>
      <c r="C109" s="38"/>
      <c r="D109" s="38"/>
      <c r="E109" s="38"/>
      <c r="F109" s="38"/>
    </row>
    <row r="110" spans="1:6" ht="12.75">
      <c r="A110" s="38"/>
      <c r="B110" s="38"/>
      <c r="C110" s="38"/>
      <c r="D110" s="38"/>
      <c r="E110" s="38"/>
      <c r="F110" s="38"/>
    </row>
    <row r="111" spans="1:6" ht="12.75">
      <c r="A111" s="38"/>
      <c r="B111" s="38"/>
      <c r="C111" s="38"/>
      <c r="D111" s="38"/>
      <c r="E111" s="38"/>
      <c r="F111" s="38"/>
    </row>
    <row r="112" spans="1:6" ht="12.75">
      <c r="A112" s="38"/>
      <c r="B112" s="38"/>
      <c r="C112" s="38"/>
      <c r="D112" s="38"/>
      <c r="E112" s="38"/>
      <c r="F112" s="38"/>
    </row>
    <row r="113" spans="1:6" ht="12.75">
      <c r="A113" s="38"/>
      <c r="B113" s="38"/>
      <c r="C113" s="38"/>
      <c r="D113" s="38"/>
      <c r="E113" s="38"/>
      <c r="F113" s="38"/>
    </row>
    <row r="114" spans="1:6" ht="12.75">
      <c r="A114" s="38"/>
      <c r="B114" s="38"/>
      <c r="C114" s="38"/>
      <c r="D114" s="38"/>
      <c r="E114" s="38"/>
      <c r="F114" s="38"/>
    </row>
    <row r="115" spans="1:6" ht="12.75">
      <c r="A115" s="38"/>
      <c r="B115" s="38"/>
      <c r="C115" s="38"/>
      <c r="D115" s="38"/>
      <c r="E115" s="38"/>
      <c r="F115" s="38"/>
    </row>
    <row r="116" spans="1:6" ht="12.75">
      <c r="A116" s="38"/>
      <c r="B116" s="38"/>
      <c r="C116" s="38"/>
      <c r="D116" s="38"/>
      <c r="E116" s="38"/>
      <c r="F116" s="38"/>
    </row>
    <row r="117" spans="1:6" ht="12.75">
      <c r="A117" s="38"/>
      <c r="B117" s="38"/>
      <c r="C117" s="38"/>
      <c r="D117" s="38"/>
      <c r="E117" s="38"/>
      <c r="F117" s="38"/>
    </row>
    <row r="118" spans="1:6" ht="12.75">
      <c r="A118" s="38"/>
      <c r="B118" s="38"/>
      <c r="C118" s="38"/>
      <c r="D118" s="38"/>
      <c r="E118" s="38"/>
      <c r="F118" s="38"/>
    </row>
    <row r="119" spans="1:6" ht="12.75">
      <c r="A119" s="38"/>
      <c r="B119" s="38"/>
      <c r="C119" s="38"/>
      <c r="D119" s="38"/>
      <c r="E119" s="38"/>
      <c r="F119" s="38"/>
    </row>
    <row r="120" spans="1:6" ht="12.75">
      <c r="A120" s="38"/>
      <c r="B120" s="38"/>
      <c r="C120" s="38"/>
      <c r="D120" s="38"/>
      <c r="E120" s="38"/>
      <c r="F120" s="38"/>
    </row>
    <row r="121" spans="1:6" ht="12.75">
      <c r="A121" s="38"/>
      <c r="B121" s="38"/>
      <c r="C121" s="38"/>
      <c r="D121" s="38"/>
      <c r="E121" s="38"/>
      <c r="F121" s="38"/>
    </row>
    <row r="122" spans="1:6" ht="12.75">
      <c r="A122" s="38"/>
      <c r="B122" s="38"/>
      <c r="C122" s="38"/>
      <c r="D122" s="38"/>
      <c r="E122" s="38"/>
      <c r="F122" s="38"/>
    </row>
    <row r="123" spans="1:6" ht="12.75">
      <c r="A123" s="38"/>
      <c r="B123" s="38"/>
      <c r="C123" s="38"/>
      <c r="D123" s="38"/>
      <c r="E123" s="38"/>
      <c r="F123" s="38"/>
    </row>
    <row r="124" spans="1:6" ht="12.75">
      <c r="A124" s="38"/>
      <c r="B124" s="38"/>
      <c r="C124" s="38"/>
      <c r="D124" s="38"/>
      <c r="E124" s="38"/>
      <c r="F124" s="38"/>
    </row>
    <row r="125" spans="1:6" ht="12.75">
      <c r="A125" s="38"/>
      <c r="B125" s="38"/>
      <c r="C125" s="38"/>
      <c r="D125" s="38"/>
      <c r="E125" s="38"/>
      <c r="F125" s="38"/>
    </row>
    <row r="126" spans="1:6" ht="12.75">
      <c r="A126" s="38"/>
      <c r="B126" s="38"/>
      <c r="C126" s="38"/>
      <c r="D126" s="38"/>
      <c r="E126" s="38"/>
      <c r="F126" s="38"/>
    </row>
    <row r="127" spans="1:6" ht="12.75">
      <c r="A127" s="38"/>
      <c r="B127" s="38"/>
      <c r="C127" s="38"/>
      <c r="D127" s="38"/>
      <c r="E127" s="38"/>
      <c r="F127" s="38"/>
    </row>
    <row r="128" spans="1:6" ht="12.75">
      <c r="A128" s="38"/>
      <c r="B128" s="38"/>
      <c r="C128" s="38"/>
      <c r="D128" s="38"/>
      <c r="E128" s="38"/>
      <c r="F128" s="38"/>
    </row>
    <row r="129" spans="1:6" ht="12.75">
      <c r="A129" s="38"/>
      <c r="B129" s="38"/>
      <c r="C129" s="38"/>
      <c r="D129" s="38"/>
      <c r="E129" s="38"/>
      <c r="F129" s="38"/>
    </row>
    <row r="130" spans="1:6" ht="12.75">
      <c r="A130" s="38"/>
      <c r="B130" s="38"/>
      <c r="C130" s="38"/>
      <c r="D130" s="38"/>
      <c r="E130" s="38"/>
      <c r="F130" s="38"/>
    </row>
    <row r="131" spans="1:6" ht="12.75">
      <c r="A131" s="38"/>
      <c r="B131" s="38"/>
      <c r="C131" s="38"/>
      <c r="D131" s="38"/>
      <c r="E131" s="38"/>
      <c r="F131" s="38"/>
    </row>
    <row r="132" spans="1:6" ht="12.75">
      <c r="A132" s="38"/>
      <c r="B132" s="38"/>
      <c r="C132" s="38"/>
      <c r="D132" s="38"/>
      <c r="E132" s="38"/>
      <c r="F132" s="38"/>
    </row>
    <row r="133" spans="1:6" ht="12.75">
      <c r="A133" s="38"/>
      <c r="B133" s="38"/>
      <c r="C133" s="38"/>
      <c r="D133" s="38"/>
      <c r="E133" s="38"/>
      <c r="F133" s="38"/>
    </row>
    <row r="134" spans="1:6" ht="12.75">
      <c r="A134" s="38"/>
      <c r="B134" s="38"/>
      <c r="C134" s="38"/>
      <c r="D134" s="38"/>
      <c r="E134" s="38"/>
      <c r="F134" s="38"/>
    </row>
    <row r="135" spans="1:6" ht="12.75">
      <c r="A135" s="38"/>
      <c r="B135" s="38"/>
      <c r="C135" s="38"/>
      <c r="D135" s="38"/>
      <c r="E135" s="38"/>
      <c r="F135" s="38"/>
    </row>
    <row r="136" spans="1:6" ht="12.75">
      <c r="A136" s="38"/>
      <c r="B136" s="38"/>
      <c r="C136" s="38"/>
      <c r="D136" s="38"/>
      <c r="E136" s="38"/>
      <c r="F136" s="38"/>
    </row>
    <row r="137" spans="1:6" ht="12.75">
      <c r="A137" s="38"/>
      <c r="B137" s="38"/>
      <c r="C137" s="38"/>
      <c r="D137" s="38"/>
      <c r="E137" s="38"/>
      <c r="F137" s="38"/>
    </row>
    <row r="138" spans="1:6" ht="12.75">
      <c r="A138" s="38"/>
      <c r="B138" s="38"/>
      <c r="C138" s="38"/>
      <c r="D138" s="38"/>
      <c r="E138" s="38"/>
      <c r="F138" s="38"/>
    </row>
    <row r="139" spans="1:6" ht="12.75">
      <c r="A139" s="38"/>
      <c r="B139" s="38"/>
      <c r="C139" s="38"/>
      <c r="D139" s="38"/>
      <c r="E139" s="38"/>
      <c r="F139" s="38"/>
    </row>
    <row r="140" spans="1:6" ht="12.75">
      <c r="A140" s="38"/>
      <c r="B140" s="38"/>
      <c r="C140" s="38"/>
      <c r="D140" s="38"/>
      <c r="E140" s="38"/>
      <c r="F140" s="38"/>
    </row>
    <row r="141" spans="1:6" ht="12.75">
      <c r="A141" s="38"/>
      <c r="B141" s="38"/>
      <c r="C141" s="38"/>
      <c r="D141" s="38"/>
      <c r="E141" s="38"/>
      <c r="F141" s="38"/>
    </row>
    <row r="142" spans="1:6" ht="12.75">
      <c r="A142" s="38"/>
      <c r="B142" s="38"/>
      <c r="C142" s="38"/>
      <c r="D142" s="38"/>
      <c r="E142" s="38"/>
      <c r="F142" s="38"/>
    </row>
    <row r="143" spans="1:6" ht="12.75">
      <c r="A143" s="38"/>
      <c r="B143" s="38"/>
      <c r="C143" s="38"/>
      <c r="D143" s="38"/>
      <c r="E143" s="38"/>
      <c r="F143" s="38"/>
    </row>
    <row r="144" spans="1:6" ht="12.75">
      <c r="A144" s="38"/>
      <c r="B144" s="38"/>
      <c r="C144" s="38"/>
      <c r="D144" s="38"/>
      <c r="E144" s="38"/>
      <c r="F144" s="38"/>
    </row>
    <row r="145" spans="1:6" ht="12.75">
      <c r="A145" s="38"/>
      <c r="B145" s="38"/>
      <c r="C145" s="38"/>
      <c r="D145" s="38"/>
      <c r="E145" s="38"/>
      <c r="F145" s="38"/>
    </row>
    <row r="146" spans="1:6" ht="12.75">
      <c r="A146" s="38"/>
      <c r="B146" s="38"/>
      <c r="C146" s="38"/>
      <c r="D146" s="38"/>
      <c r="E146" s="38"/>
      <c r="F146" s="38"/>
    </row>
    <row r="147" spans="1:6" ht="12.75">
      <c r="A147" s="38"/>
      <c r="B147" s="38"/>
      <c r="C147" s="38"/>
      <c r="D147" s="38"/>
      <c r="E147" s="38"/>
      <c r="F147" s="38"/>
    </row>
    <row r="148" spans="1:6" ht="12.75">
      <c r="A148" s="38"/>
      <c r="B148" s="38"/>
      <c r="C148" s="38"/>
      <c r="D148" s="38"/>
      <c r="E148" s="38"/>
      <c r="F148" s="38"/>
    </row>
    <row r="149" spans="1:6" ht="12.75">
      <c r="A149" s="38"/>
      <c r="B149" s="38"/>
      <c r="C149" s="38"/>
      <c r="D149" s="38"/>
      <c r="E149" s="38"/>
      <c r="F149" s="38"/>
    </row>
    <row r="150" spans="1:6" ht="12.75">
      <c r="A150" s="38"/>
      <c r="B150" s="38"/>
      <c r="C150" s="38"/>
      <c r="D150" s="38"/>
      <c r="E150" s="38"/>
      <c r="F150" s="38"/>
    </row>
    <row r="151" spans="1:6" ht="12.75">
      <c r="A151" s="38"/>
      <c r="B151" s="38"/>
      <c r="C151" s="38"/>
      <c r="D151" s="38"/>
      <c r="E151" s="38"/>
      <c r="F151" s="38"/>
    </row>
    <row r="152" spans="1:6" ht="12.75">
      <c r="A152" s="38"/>
      <c r="B152" s="38"/>
      <c r="C152" s="38"/>
      <c r="D152" s="38"/>
      <c r="E152" s="38"/>
      <c r="F152" s="38"/>
    </row>
    <row r="153" spans="1:6" ht="12.75">
      <c r="A153" s="38"/>
      <c r="B153" s="38"/>
      <c r="C153" s="38"/>
      <c r="D153" s="38"/>
      <c r="E153" s="38"/>
      <c r="F153" s="38"/>
    </row>
    <row r="154" spans="1:6" ht="12.75">
      <c r="A154" s="38"/>
      <c r="B154" s="38"/>
      <c r="C154" s="38"/>
      <c r="D154" s="38"/>
      <c r="E154" s="38"/>
      <c r="F154" s="38"/>
    </row>
  </sheetData>
  <mergeCells count="5">
    <mergeCell ref="A5:F5"/>
    <mergeCell ref="E1:F1"/>
    <mergeCell ref="A2:F2"/>
    <mergeCell ref="A3:F3"/>
    <mergeCell ref="A4:F4"/>
  </mergeCells>
  <printOptions/>
  <pageMargins left="0.98" right="0.49" top="0.58" bottom="0.39" header="0" footer="0"/>
  <pageSetup fitToHeight="1" fitToWidth="1" horizontalDpi="600" verticalDpi="600" orientation="portrait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1">
      <selection activeCell="J57" sqref="J57"/>
    </sheetView>
  </sheetViews>
  <sheetFormatPr defaultColWidth="11.421875" defaultRowHeight="12.75"/>
  <cols>
    <col min="1" max="1" width="41.421875" style="0" customWidth="1"/>
    <col min="2" max="2" width="16.421875" style="0" customWidth="1"/>
    <col min="3" max="3" width="13.28125" style="0" customWidth="1"/>
    <col min="4" max="4" width="13.57421875" style="0" customWidth="1"/>
    <col min="5" max="5" width="2.8515625" style="273" customWidth="1"/>
  </cols>
  <sheetData>
    <row r="1" spans="1:5" s="254" customFormat="1" ht="12.75" customHeight="1">
      <c r="A1" s="248"/>
      <c r="B1" s="248"/>
      <c r="C1" s="252"/>
      <c r="D1" s="253" t="s">
        <v>18</v>
      </c>
      <c r="E1" s="272"/>
    </row>
    <row r="2" spans="1:5" s="254" customFormat="1" ht="12.75" customHeight="1">
      <c r="A2" s="286" t="s">
        <v>309</v>
      </c>
      <c r="B2" s="286"/>
      <c r="C2" s="286"/>
      <c r="D2" s="286"/>
      <c r="E2" s="272"/>
    </row>
    <row r="3" spans="1:5" s="254" customFormat="1" ht="12.75" customHeight="1">
      <c r="A3" s="286" t="s">
        <v>524</v>
      </c>
      <c r="B3" s="286"/>
      <c r="C3" s="286"/>
      <c r="D3" s="286"/>
      <c r="E3" s="272"/>
    </row>
    <row r="4" spans="1:5" s="254" customFormat="1" ht="12.75" customHeight="1">
      <c r="A4" s="286" t="s">
        <v>513</v>
      </c>
      <c r="B4" s="286"/>
      <c r="C4" s="286"/>
      <c r="D4" s="286"/>
      <c r="E4" s="272"/>
    </row>
    <row r="5" spans="1:5" ht="18.75" customHeight="1">
      <c r="A5" s="17"/>
      <c r="B5" s="17"/>
      <c r="C5" s="97"/>
      <c r="D5" s="30"/>
      <c r="E5" s="3"/>
    </row>
    <row r="6" spans="1:5" ht="26.25" customHeight="1">
      <c r="A6" s="246" t="s">
        <v>185</v>
      </c>
      <c r="B6" s="246" t="s">
        <v>136</v>
      </c>
      <c r="C6" s="246" t="s">
        <v>110</v>
      </c>
      <c r="D6" s="250" t="s">
        <v>20</v>
      </c>
      <c r="E6" s="3"/>
    </row>
    <row r="7" spans="1:5" ht="15" customHeight="1">
      <c r="A7" s="2"/>
      <c r="B7" s="2"/>
      <c r="C7" s="2"/>
      <c r="D7" s="24"/>
      <c r="E7" s="3"/>
    </row>
    <row r="8" spans="1:5" ht="12.75">
      <c r="A8" s="78" t="s">
        <v>256</v>
      </c>
      <c r="B8" s="7"/>
      <c r="C8" s="79"/>
      <c r="D8" s="24"/>
      <c r="E8" s="3"/>
    </row>
    <row r="9" spans="1:5" ht="10.5" customHeight="1">
      <c r="A9" s="78"/>
      <c r="B9" s="7"/>
      <c r="C9" s="79"/>
      <c r="D9" s="24"/>
      <c r="E9" s="3"/>
    </row>
    <row r="10" spans="1:5" ht="12.75">
      <c r="A10" s="56" t="s">
        <v>229</v>
      </c>
      <c r="B10" s="7"/>
      <c r="C10" s="79"/>
      <c r="D10" s="160">
        <v>176544</v>
      </c>
      <c r="E10" s="3"/>
    </row>
    <row r="11" spans="1:5" ht="12.75">
      <c r="A11" s="7" t="s">
        <v>112</v>
      </c>
      <c r="B11" s="7" t="s">
        <v>198</v>
      </c>
      <c r="C11" s="79">
        <v>65500611562</v>
      </c>
      <c r="D11" s="160">
        <v>218430.83</v>
      </c>
      <c r="E11" s="10" t="s">
        <v>24</v>
      </c>
    </row>
    <row r="12" spans="1:5" ht="12.75">
      <c r="A12" s="7" t="s">
        <v>223</v>
      </c>
      <c r="B12" s="7" t="s">
        <v>198</v>
      </c>
      <c r="C12" s="79">
        <v>65501752447</v>
      </c>
      <c r="D12" s="160">
        <v>0</v>
      </c>
      <c r="E12" s="3"/>
    </row>
    <row r="13" spans="1:5" ht="12.75">
      <c r="A13" s="6" t="s">
        <v>166</v>
      </c>
      <c r="B13" s="7" t="s">
        <v>198</v>
      </c>
      <c r="C13" s="79">
        <v>65501752433</v>
      </c>
      <c r="D13" s="160">
        <v>-1247232.1</v>
      </c>
      <c r="E13" s="10" t="s">
        <v>27</v>
      </c>
    </row>
    <row r="14" spans="1:4" ht="12.75">
      <c r="A14" s="7" t="s">
        <v>224</v>
      </c>
      <c r="B14" s="7" t="s">
        <v>198</v>
      </c>
      <c r="C14" s="79">
        <v>65501761036</v>
      </c>
      <c r="D14" s="160">
        <v>1705282.35</v>
      </c>
    </row>
    <row r="15" spans="1:5" ht="12.75">
      <c r="A15" s="7" t="s">
        <v>282</v>
      </c>
      <c r="B15" s="7" t="s">
        <v>198</v>
      </c>
      <c r="C15" s="79">
        <v>65501790364</v>
      </c>
      <c r="D15" s="160">
        <v>755721.8</v>
      </c>
      <c r="E15" s="3"/>
    </row>
    <row r="16" spans="1:5" ht="12.75">
      <c r="A16" s="6" t="s">
        <v>170</v>
      </c>
      <c r="B16" s="7" t="s">
        <v>199</v>
      </c>
      <c r="C16" s="79" t="s">
        <v>115</v>
      </c>
      <c r="D16" s="160">
        <v>291767.65</v>
      </c>
      <c r="E16" s="3"/>
    </row>
    <row r="17" spans="1:5" ht="12.75">
      <c r="A17" s="6" t="s">
        <v>170</v>
      </c>
      <c r="B17" s="7" t="s">
        <v>199</v>
      </c>
      <c r="C17" s="79">
        <v>162537494</v>
      </c>
      <c r="D17" s="160">
        <v>572640.02</v>
      </c>
      <c r="E17" s="3"/>
    </row>
    <row r="18" spans="1:5" ht="12.75">
      <c r="A18" s="6" t="s">
        <v>284</v>
      </c>
      <c r="B18" s="7" t="s">
        <v>200</v>
      </c>
      <c r="C18" s="79">
        <v>4031053267</v>
      </c>
      <c r="D18" s="160">
        <v>9993.11</v>
      </c>
      <c r="E18" s="3"/>
    </row>
    <row r="19" spans="1:5" ht="12.75">
      <c r="A19" s="6" t="s">
        <v>477</v>
      </c>
      <c r="B19" s="7" t="s">
        <v>200</v>
      </c>
      <c r="C19" s="79">
        <v>4044248151</v>
      </c>
      <c r="D19" s="160">
        <v>10000</v>
      </c>
      <c r="E19" s="3"/>
    </row>
    <row r="20" spans="1:5" ht="12.75">
      <c r="A20" s="6" t="s">
        <v>166</v>
      </c>
      <c r="B20" s="7" t="s">
        <v>198</v>
      </c>
      <c r="C20" s="79">
        <v>51908075257</v>
      </c>
      <c r="D20" s="160">
        <v>63036.23</v>
      </c>
      <c r="E20" s="10" t="s">
        <v>24</v>
      </c>
    </row>
    <row r="21" spans="1:5" ht="12.75">
      <c r="A21" s="6" t="s">
        <v>166</v>
      </c>
      <c r="B21" s="7" t="s">
        <v>126</v>
      </c>
      <c r="C21" s="80" t="s">
        <v>149</v>
      </c>
      <c r="D21" s="160">
        <v>-134767</v>
      </c>
      <c r="E21" s="10" t="s">
        <v>23</v>
      </c>
    </row>
    <row r="22" spans="1:4" ht="12.75">
      <c r="A22" s="6" t="s">
        <v>204</v>
      </c>
      <c r="B22" s="7" t="s">
        <v>126</v>
      </c>
      <c r="C22" s="80" t="s">
        <v>206</v>
      </c>
      <c r="D22" s="160">
        <v>1087175.79</v>
      </c>
    </row>
    <row r="23" spans="1:5" ht="12.75">
      <c r="A23" s="6" t="s">
        <v>204</v>
      </c>
      <c r="B23" s="7" t="s">
        <v>126</v>
      </c>
      <c r="C23" s="80" t="s">
        <v>222</v>
      </c>
      <c r="D23" s="160">
        <v>-18603</v>
      </c>
      <c r="E23" s="10" t="s">
        <v>27</v>
      </c>
    </row>
    <row r="24" spans="1:5" ht="12.75">
      <c r="A24" s="6" t="s">
        <v>204</v>
      </c>
      <c r="B24" s="7" t="s">
        <v>126</v>
      </c>
      <c r="C24" s="80" t="s">
        <v>413</v>
      </c>
      <c r="D24" s="160">
        <v>2322550.49</v>
      </c>
      <c r="E24" s="10"/>
    </row>
    <row r="25" spans="1:5" ht="12.75">
      <c r="A25" s="6" t="s">
        <v>203</v>
      </c>
      <c r="B25" s="7" t="s">
        <v>126</v>
      </c>
      <c r="C25" s="80" t="s">
        <v>414</v>
      </c>
      <c r="D25" s="160">
        <v>66311.67</v>
      </c>
      <c r="E25" s="10"/>
    </row>
    <row r="26" spans="1:5" ht="12.75">
      <c r="A26" s="6" t="s">
        <v>293</v>
      </c>
      <c r="B26" s="7" t="s">
        <v>198</v>
      </c>
      <c r="C26" s="79">
        <v>65501896472</v>
      </c>
      <c r="D26" s="160">
        <v>138406.56</v>
      </c>
      <c r="E26" s="3"/>
    </row>
    <row r="27" spans="1:5" ht="12.75">
      <c r="A27" s="7" t="s">
        <v>298</v>
      </c>
      <c r="B27" s="7" t="s">
        <v>198</v>
      </c>
      <c r="C27" s="79">
        <v>65501928095</v>
      </c>
      <c r="D27" s="160">
        <v>594641.27</v>
      </c>
      <c r="E27" s="3"/>
    </row>
    <row r="28" spans="1:5" ht="12.75">
      <c r="A28" s="7" t="s">
        <v>373</v>
      </c>
      <c r="B28" s="7" t="s">
        <v>198</v>
      </c>
      <c r="C28" s="79">
        <v>65502360378</v>
      </c>
      <c r="D28" s="160">
        <v>236424.54</v>
      </c>
      <c r="E28" s="10"/>
    </row>
    <row r="29" spans="1:5" ht="12.75">
      <c r="A29" s="6" t="s">
        <v>203</v>
      </c>
      <c r="B29" s="7" t="s">
        <v>198</v>
      </c>
      <c r="C29" s="79">
        <v>65502468962</v>
      </c>
      <c r="D29" s="160">
        <v>255041106.25</v>
      </c>
      <c r="E29" s="10"/>
    </row>
    <row r="30" spans="1:5" ht="12.75">
      <c r="A30" s="6" t="s">
        <v>166</v>
      </c>
      <c r="B30" s="7" t="s">
        <v>198</v>
      </c>
      <c r="C30" s="79">
        <v>65502468993</v>
      </c>
      <c r="D30" s="160">
        <v>3201643.35</v>
      </c>
      <c r="E30" s="10"/>
    </row>
    <row r="31" spans="1:5" ht="12.75">
      <c r="A31" s="6" t="s">
        <v>493</v>
      </c>
      <c r="B31" s="7" t="s">
        <v>198</v>
      </c>
      <c r="C31" s="79">
        <v>65502558764</v>
      </c>
      <c r="D31" s="160">
        <v>47131.57</v>
      </c>
      <c r="E31" s="10"/>
    </row>
    <row r="32" spans="2:5" ht="12.75">
      <c r="B32" s="1"/>
      <c r="C32" s="3"/>
      <c r="D32" s="104"/>
      <c r="E32" s="3"/>
    </row>
    <row r="33" spans="1:5" ht="12.75">
      <c r="A33" s="91" t="s">
        <v>150</v>
      </c>
      <c r="B33" s="1"/>
      <c r="C33" s="3"/>
      <c r="D33" s="163">
        <f>SUM(D10:D32)</f>
        <v>265138205.38</v>
      </c>
      <c r="E33" s="3"/>
    </row>
    <row r="34" spans="1:5" ht="12.75">
      <c r="A34" s="1"/>
      <c r="B34" s="1"/>
      <c r="C34" s="3"/>
      <c r="D34" s="103"/>
      <c r="E34" s="3"/>
    </row>
    <row r="35" spans="1:5" ht="12.75">
      <c r="A35" s="8" t="s">
        <v>184</v>
      </c>
      <c r="B35" s="1"/>
      <c r="C35" s="3"/>
      <c r="D35" s="103"/>
      <c r="E35" s="3"/>
    </row>
    <row r="36" spans="1:5" ht="12.75">
      <c r="A36" s="1"/>
      <c r="B36" s="1"/>
      <c r="C36" s="3"/>
      <c r="D36" s="103"/>
      <c r="E36" s="3"/>
    </row>
    <row r="37" spans="1:5" ht="12.75">
      <c r="A37" s="7" t="s">
        <v>171</v>
      </c>
      <c r="B37" s="7" t="s">
        <v>198</v>
      </c>
      <c r="C37" s="80" t="s">
        <v>259</v>
      </c>
      <c r="D37" s="160">
        <v>57846.6</v>
      </c>
      <c r="E37" s="3"/>
    </row>
    <row r="38" spans="1:5" ht="12.75">
      <c r="A38" s="7" t="s">
        <v>349</v>
      </c>
      <c r="B38" s="7" t="s">
        <v>198</v>
      </c>
      <c r="C38" s="79">
        <v>66501928095</v>
      </c>
      <c r="D38" s="160">
        <v>644.76</v>
      </c>
      <c r="E38" s="3"/>
    </row>
    <row r="39" spans="1:5" ht="12.75">
      <c r="A39" s="7" t="s">
        <v>607</v>
      </c>
      <c r="B39" s="7" t="s">
        <v>343</v>
      </c>
      <c r="C39" s="80" t="s">
        <v>345</v>
      </c>
      <c r="D39" s="160">
        <v>4398330.63</v>
      </c>
      <c r="E39" s="3"/>
    </row>
    <row r="40" spans="1:5" ht="12.75">
      <c r="A40" s="1"/>
      <c r="B40" s="1"/>
      <c r="C40" s="3"/>
      <c r="D40" s="103"/>
      <c r="E40" s="3"/>
    </row>
    <row r="41" spans="1:5" ht="12.75">
      <c r="A41" s="91" t="s">
        <v>173</v>
      </c>
      <c r="B41" s="1"/>
      <c r="C41" s="3"/>
      <c r="D41" s="180">
        <f>SUM(D37:D40)</f>
        <v>4456821.99</v>
      </c>
      <c r="E41" s="3"/>
    </row>
    <row r="42" spans="1:5" ht="12.75">
      <c r="A42" s="1"/>
      <c r="B42" s="1"/>
      <c r="C42" s="3"/>
      <c r="E42" s="3"/>
    </row>
    <row r="43" spans="1:4" ht="12.75">
      <c r="A43" s="8" t="s">
        <v>174</v>
      </c>
      <c r="B43" s="1"/>
      <c r="C43" s="3"/>
      <c r="D43" s="23"/>
    </row>
    <row r="44" spans="1:5" ht="12.75">
      <c r="A44" s="1"/>
      <c r="B44" s="1"/>
      <c r="C44" s="3"/>
      <c r="E44" s="3"/>
    </row>
    <row r="45" spans="1:5" ht="12.75">
      <c r="A45" s="6" t="s">
        <v>172</v>
      </c>
      <c r="B45" s="7" t="s">
        <v>198</v>
      </c>
      <c r="C45" s="79" t="s">
        <v>113</v>
      </c>
      <c r="D45" s="160">
        <v>17794.83</v>
      </c>
      <c r="E45" s="10" t="s">
        <v>257</v>
      </c>
    </row>
    <row r="46" spans="1:5" ht="12.75">
      <c r="A46" s="6" t="s">
        <v>175</v>
      </c>
      <c r="B46" s="7" t="s">
        <v>198</v>
      </c>
      <c r="C46" s="79" t="s">
        <v>114</v>
      </c>
      <c r="D46" s="160">
        <v>891279.16</v>
      </c>
      <c r="E46" s="10" t="s">
        <v>258</v>
      </c>
    </row>
    <row r="47" spans="1:4" ht="12.75">
      <c r="A47" s="7" t="s">
        <v>117</v>
      </c>
      <c r="B47" s="7" t="s">
        <v>198</v>
      </c>
      <c r="C47" s="79" t="s">
        <v>118</v>
      </c>
      <c r="D47" s="160">
        <v>23355079.3</v>
      </c>
    </row>
    <row r="48" spans="1:5" ht="12.75">
      <c r="A48" s="7" t="s">
        <v>88</v>
      </c>
      <c r="B48" s="7" t="s">
        <v>201</v>
      </c>
      <c r="C48" s="79" t="s">
        <v>116</v>
      </c>
      <c r="D48" s="160">
        <v>2067.5</v>
      </c>
      <c r="E48" s="3"/>
    </row>
    <row r="49" spans="1:5" ht="12.75">
      <c r="A49" s="7" t="s">
        <v>608</v>
      </c>
      <c r="B49" s="7" t="s">
        <v>202</v>
      </c>
      <c r="C49" s="79" t="s">
        <v>119</v>
      </c>
      <c r="D49" s="160">
        <v>2396968.22</v>
      </c>
      <c r="E49" s="3"/>
    </row>
    <row r="50" spans="1:5" ht="12.75">
      <c r="A50" s="7" t="s">
        <v>340</v>
      </c>
      <c r="B50" s="7" t="s">
        <v>198</v>
      </c>
      <c r="C50" s="79" t="s">
        <v>339</v>
      </c>
      <c r="D50" s="160">
        <v>9772</v>
      </c>
      <c r="E50" s="3"/>
    </row>
    <row r="51" spans="1:5" ht="12.75">
      <c r="A51" s="7" t="s">
        <v>250</v>
      </c>
      <c r="B51" s="7" t="s">
        <v>198</v>
      </c>
      <c r="C51" s="79">
        <v>82500274581</v>
      </c>
      <c r="D51" s="160">
        <v>1210597.13</v>
      </c>
      <c r="E51" s="10" t="s">
        <v>371</v>
      </c>
    </row>
    <row r="52" spans="1:5" ht="12.75">
      <c r="A52" s="7" t="s">
        <v>252</v>
      </c>
      <c r="B52" s="7" t="s">
        <v>198</v>
      </c>
      <c r="C52" s="79" t="s">
        <v>251</v>
      </c>
      <c r="D52" s="160">
        <v>1646358.13</v>
      </c>
      <c r="E52" s="3"/>
    </row>
    <row r="53" spans="1:5" ht="12.75">
      <c r="A53" s="7" t="s">
        <v>289</v>
      </c>
      <c r="B53" s="7" t="s">
        <v>198</v>
      </c>
      <c r="C53" s="79" t="s">
        <v>290</v>
      </c>
      <c r="D53" s="160">
        <v>69134953.57</v>
      </c>
      <c r="E53" s="3"/>
    </row>
    <row r="54" spans="1:5" ht="12.75">
      <c r="A54" s="7" t="s">
        <v>288</v>
      </c>
      <c r="B54" s="7" t="s">
        <v>198</v>
      </c>
      <c r="C54" s="79" t="s">
        <v>291</v>
      </c>
      <c r="D54" s="160">
        <v>2857441.47</v>
      </c>
      <c r="E54" s="3"/>
    </row>
    <row r="55" spans="1:5" ht="12.75">
      <c r="A55" s="7" t="s">
        <v>495</v>
      </c>
      <c r="B55" s="7" t="s">
        <v>494</v>
      </c>
      <c r="C55" s="79" t="s">
        <v>345</v>
      </c>
      <c r="D55" s="160">
        <v>0</v>
      </c>
      <c r="E55" s="3"/>
    </row>
    <row r="56" spans="1:5" ht="12.75">
      <c r="A56" s="7" t="s">
        <v>357</v>
      </c>
      <c r="B56" s="7" t="s">
        <v>198</v>
      </c>
      <c r="C56" s="79" t="s">
        <v>358</v>
      </c>
      <c r="D56" s="160">
        <v>12916394.9</v>
      </c>
      <c r="E56" s="3"/>
    </row>
    <row r="57" spans="1:5" ht="12.75">
      <c r="A57" s="7" t="s">
        <v>369</v>
      </c>
      <c r="B57" s="7" t="s">
        <v>198</v>
      </c>
      <c r="C57" s="79" t="s">
        <v>363</v>
      </c>
      <c r="D57" s="160">
        <v>28023101.73</v>
      </c>
      <c r="E57" s="3"/>
    </row>
    <row r="58" spans="1:5" ht="12.75">
      <c r="A58" s="7" t="s">
        <v>436</v>
      </c>
      <c r="B58" s="7" t="s">
        <v>198</v>
      </c>
      <c r="C58" s="79" t="s">
        <v>437</v>
      </c>
      <c r="D58" s="160">
        <v>1009571.22</v>
      </c>
      <c r="E58" s="3"/>
    </row>
    <row r="59" spans="1:5" ht="9" customHeight="1">
      <c r="A59" s="1"/>
      <c r="B59" s="1"/>
      <c r="C59" s="1"/>
      <c r="D59" s="103"/>
      <c r="E59" s="3"/>
    </row>
    <row r="60" spans="1:5" ht="12.75">
      <c r="A60" s="8" t="s">
        <v>176</v>
      </c>
      <c r="B60" s="1"/>
      <c r="C60" s="3"/>
      <c r="D60" s="180">
        <f>SUM(D45:D59)</f>
        <v>143471379.16</v>
      </c>
      <c r="E60" s="3"/>
    </row>
    <row r="61" spans="1:5" ht="9" customHeight="1">
      <c r="A61" s="4"/>
      <c r="B61" s="4"/>
      <c r="C61" s="79"/>
      <c r="D61" s="184"/>
      <c r="E61" s="3"/>
    </row>
    <row r="62" spans="1:5" ht="13.5" thickBot="1">
      <c r="A62" s="4" t="s">
        <v>120</v>
      </c>
      <c r="B62" s="7"/>
      <c r="C62" s="10" t="s">
        <v>121</v>
      </c>
      <c r="D62" s="275">
        <f>SUM(D33+D41+D60)</f>
        <v>413066406.53</v>
      </c>
      <c r="E62" s="3"/>
    </row>
    <row r="63" spans="1:5" ht="13.5" thickTop="1">
      <c r="A63" s="4"/>
      <c r="B63" s="7"/>
      <c r="C63" s="10"/>
      <c r="D63" s="274"/>
      <c r="E63" s="3"/>
    </row>
    <row r="64" ht="12.75">
      <c r="A64" s="8" t="s">
        <v>29</v>
      </c>
    </row>
    <row r="65" ht="12.75">
      <c r="A65" s="19" t="s">
        <v>609</v>
      </c>
    </row>
    <row r="66" ht="12.75">
      <c r="A66" s="19" t="s">
        <v>294</v>
      </c>
    </row>
    <row r="67" ht="12.75">
      <c r="A67" s="19" t="s">
        <v>610</v>
      </c>
    </row>
    <row r="68" ht="12.75">
      <c r="A68" s="58" t="s">
        <v>386</v>
      </c>
    </row>
    <row r="69" ht="12.75">
      <c r="A69" s="19" t="s">
        <v>520</v>
      </c>
    </row>
    <row r="70" ht="12.75">
      <c r="A70" s="19" t="s">
        <v>522</v>
      </c>
    </row>
    <row r="71" ht="12.75">
      <c r="A71" s="19" t="s">
        <v>521</v>
      </c>
    </row>
    <row r="72" ht="17.25" customHeight="1">
      <c r="A72" s="19"/>
    </row>
    <row r="73" ht="12.75">
      <c r="A73" s="84" t="s">
        <v>611</v>
      </c>
    </row>
    <row r="74" ht="12.75">
      <c r="A74" s="215"/>
    </row>
    <row r="75" spans="1:4" ht="12.75">
      <c r="A75" s="215" t="s">
        <v>612</v>
      </c>
      <c r="B75" s="7" t="s">
        <v>199</v>
      </c>
      <c r="C75" s="80" t="s">
        <v>375</v>
      </c>
      <c r="D75" s="160">
        <v>221233399.6</v>
      </c>
    </row>
    <row r="76" spans="1:4" ht="12.75">
      <c r="A76" s="45" t="s">
        <v>387</v>
      </c>
      <c r="B76" s="7" t="s">
        <v>199</v>
      </c>
      <c r="C76" s="80" t="s">
        <v>375</v>
      </c>
      <c r="D76" s="206">
        <v>37296.35</v>
      </c>
    </row>
    <row r="77" spans="1:4" ht="13.5" thickBot="1">
      <c r="A77" s="215"/>
      <c r="D77" s="255">
        <f>SUM(D75:D76)</f>
        <v>221270695.95</v>
      </c>
    </row>
    <row r="78" spans="1:4" ht="12" customHeight="1" thickTop="1">
      <c r="A78" s="215"/>
      <c r="D78" s="276"/>
    </row>
    <row r="79" spans="1:4" ht="12.75">
      <c r="A79" s="215" t="s">
        <v>380</v>
      </c>
      <c r="C79" s="207">
        <v>210935666.8</v>
      </c>
      <c r="D79" s="256"/>
    </row>
    <row r="80" spans="1:4" ht="12.75">
      <c r="A80" s="215" t="s">
        <v>381</v>
      </c>
      <c r="C80" s="207">
        <v>10508400.53</v>
      </c>
      <c r="D80" s="256"/>
    </row>
    <row r="81" spans="1:4" ht="12.75">
      <c r="A81" s="215" t="s">
        <v>382</v>
      </c>
      <c r="C81" s="221">
        <v>-173371.38</v>
      </c>
      <c r="D81" s="277"/>
    </row>
    <row r="82" spans="1:4" ht="13.5" thickBot="1">
      <c r="A82" s="215"/>
      <c r="B82" s="223"/>
      <c r="D82" s="255">
        <f>SUM(C79:C81)</f>
        <v>221270695.95000002</v>
      </c>
    </row>
    <row r="83" spans="1:3" ht="13.5" thickTop="1">
      <c r="A83" s="215"/>
      <c r="B83" s="220"/>
      <c r="C83" s="218"/>
    </row>
    <row r="85" ht="12.75">
      <c r="D85" s="207"/>
    </row>
  </sheetData>
  <mergeCells count="3">
    <mergeCell ref="A2:D2"/>
    <mergeCell ref="A3:D3"/>
    <mergeCell ref="A4:D4"/>
  </mergeCells>
  <printOptions/>
  <pageMargins left="0.9" right="0.7874015748031497" top="0.7874015748031497" bottom="0.984251968503937" header="0" footer="0.3937007874015748"/>
  <pageSetup horizontalDpi="600" verticalDpi="600" orientation="portrait" r:id="rId1"/>
  <headerFooter alignWithMargins="0">
    <oddFooter>&amp;R&amp;P de &amp;N</oddFooter>
  </headerFooter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zoomScaleSheetLayoutView="115" workbookViewId="0" topLeftCell="A1">
      <selection activeCell="L48" sqref="L48"/>
    </sheetView>
  </sheetViews>
  <sheetFormatPr defaultColWidth="11.421875" defaultRowHeight="12.75"/>
  <cols>
    <col min="1" max="1" width="15.421875" style="1" bestFit="1" customWidth="1"/>
    <col min="2" max="3" width="12.57421875" style="23" customWidth="1"/>
    <col min="4" max="4" width="13.421875" style="23" customWidth="1"/>
    <col min="5" max="5" width="12.57421875" style="23" customWidth="1"/>
    <col min="6" max="6" width="13.421875" style="23" customWidth="1"/>
    <col min="7" max="7" width="12.7109375" style="23" customWidth="1"/>
    <col min="8" max="16384" width="11.421875" style="1" customWidth="1"/>
  </cols>
  <sheetData>
    <row r="1" ht="12.75">
      <c r="G1" s="29" t="s">
        <v>30</v>
      </c>
    </row>
    <row r="2" spans="1:7" ht="12.75">
      <c r="A2" s="283" t="s">
        <v>309</v>
      </c>
      <c r="B2" s="283"/>
      <c r="C2" s="283"/>
      <c r="D2" s="283"/>
      <c r="E2" s="283"/>
      <c r="F2" s="283"/>
      <c r="G2" s="283"/>
    </row>
    <row r="3" spans="1:7" ht="12.75">
      <c r="A3" s="283" t="s">
        <v>524</v>
      </c>
      <c r="B3" s="283"/>
      <c r="C3" s="283"/>
      <c r="D3" s="283"/>
      <c r="E3" s="283"/>
      <c r="F3" s="283"/>
      <c r="G3" s="283"/>
    </row>
    <row r="4" spans="1:7" ht="12.75">
      <c r="A4" s="283" t="s">
        <v>311</v>
      </c>
      <c r="B4" s="283"/>
      <c r="C4" s="283"/>
      <c r="D4" s="283"/>
      <c r="E4" s="283"/>
      <c r="F4" s="283"/>
      <c r="G4" s="283"/>
    </row>
    <row r="5" spans="1:8" ht="15">
      <c r="A5" s="283" t="s">
        <v>452</v>
      </c>
      <c r="B5" s="283"/>
      <c r="C5" s="283"/>
      <c r="D5" s="283"/>
      <c r="E5" s="283"/>
      <c r="F5" s="283"/>
      <c r="G5" s="283"/>
      <c r="H5" s="37"/>
    </row>
    <row r="6" spans="1:8" ht="15">
      <c r="A6" s="93"/>
      <c r="B6" s="93"/>
      <c r="C6" s="93"/>
      <c r="D6" s="93"/>
      <c r="E6" s="93"/>
      <c r="F6" s="93"/>
      <c r="G6" s="93"/>
      <c r="H6" s="37"/>
    </row>
    <row r="7" spans="1:7" ht="12.75">
      <c r="A7" s="225" t="s">
        <v>31</v>
      </c>
      <c r="B7" s="227" t="s">
        <v>32</v>
      </c>
      <c r="C7" s="227" t="s">
        <v>32</v>
      </c>
      <c r="D7" s="227" t="s">
        <v>32</v>
      </c>
      <c r="E7" s="227" t="s">
        <v>33</v>
      </c>
      <c r="F7" s="227" t="s">
        <v>33</v>
      </c>
      <c r="G7" s="227"/>
    </row>
    <row r="8" spans="1:7" ht="12.75">
      <c r="A8" s="2" t="s">
        <v>34</v>
      </c>
      <c r="B8" s="24" t="s">
        <v>152</v>
      </c>
      <c r="C8" s="24" t="s">
        <v>152</v>
      </c>
      <c r="D8" s="24" t="s">
        <v>152</v>
      </c>
      <c r="E8" s="24" t="s">
        <v>154</v>
      </c>
      <c r="F8" s="24" t="s">
        <v>154</v>
      </c>
      <c r="G8" s="24" t="s">
        <v>20</v>
      </c>
    </row>
    <row r="9" spans="1:7" ht="12.75">
      <c r="A9" s="88" t="s">
        <v>151</v>
      </c>
      <c r="B9" s="92" t="s">
        <v>153</v>
      </c>
      <c r="C9" s="92" t="s">
        <v>328</v>
      </c>
      <c r="D9" s="92" t="s">
        <v>352</v>
      </c>
      <c r="E9" s="92" t="s">
        <v>153</v>
      </c>
      <c r="F9" s="92" t="s">
        <v>352</v>
      </c>
      <c r="G9" s="92" t="s">
        <v>155</v>
      </c>
    </row>
    <row r="10" spans="1:7" ht="9" customHeight="1">
      <c r="A10" s="2"/>
      <c r="B10" s="24"/>
      <c r="C10" s="24"/>
      <c r="D10" s="24"/>
      <c r="E10" s="24"/>
      <c r="F10" s="24"/>
      <c r="G10" s="24"/>
    </row>
    <row r="11" spans="1:7" ht="12.75">
      <c r="A11" s="247" t="s">
        <v>474</v>
      </c>
      <c r="B11" s="129">
        <v>2168888</v>
      </c>
      <c r="C11" s="129"/>
      <c r="D11" s="129"/>
      <c r="E11" s="129"/>
      <c r="F11" s="129"/>
      <c r="G11" s="135">
        <f>SUM(B11:F11)</f>
        <v>2168888</v>
      </c>
    </row>
    <row r="12" spans="1:7" ht="12.75">
      <c r="A12" s="247" t="s">
        <v>474</v>
      </c>
      <c r="B12" s="129"/>
      <c r="C12" s="129"/>
      <c r="D12" s="129">
        <v>1589361</v>
      </c>
      <c r="E12" s="129"/>
      <c r="F12" s="129"/>
      <c r="G12" s="135">
        <f>SUM(B12:F12)</f>
        <v>1589361</v>
      </c>
    </row>
    <row r="13" spans="1:7" ht="12.75">
      <c r="A13" s="247" t="s">
        <v>476</v>
      </c>
      <c r="B13" s="129"/>
      <c r="C13" s="129">
        <v>1678387</v>
      </c>
      <c r="D13" s="129"/>
      <c r="E13" s="129"/>
      <c r="F13" s="129"/>
      <c r="G13" s="135">
        <f aca="true" t="shared" si="0" ref="G13:G24">SUM(B13:F13)</f>
        <v>1678387</v>
      </c>
    </row>
    <row r="14" spans="1:7" ht="12.75">
      <c r="A14" s="247" t="s">
        <v>476</v>
      </c>
      <c r="B14" s="129"/>
      <c r="C14" s="129">
        <v>491043</v>
      </c>
      <c r="D14" s="129"/>
      <c r="E14" s="129"/>
      <c r="F14" s="129"/>
      <c r="G14" s="135">
        <f t="shared" si="0"/>
        <v>491043</v>
      </c>
    </row>
    <row r="15" spans="1:7" ht="12.75">
      <c r="A15" s="247" t="s">
        <v>476</v>
      </c>
      <c r="B15" s="129"/>
      <c r="C15" s="129">
        <v>51828</v>
      </c>
      <c r="D15" s="129"/>
      <c r="E15" s="129"/>
      <c r="F15" s="129"/>
      <c r="G15" s="135">
        <f t="shared" si="0"/>
        <v>51828</v>
      </c>
    </row>
    <row r="16" spans="1:7" ht="12.75">
      <c r="A16" s="247" t="s">
        <v>476</v>
      </c>
      <c r="B16" s="129"/>
      <c r="C16" s="129">
        <v>1719694</v>
      </c>
      <c r="D16" s="129"/>
      <c r="E16" s="129"/>
      <c r="F16" s="129"/>
      <c r="G16" s="135">
        <f t="shared" si="0"/>
        <v>1719694</v>
      </c>
    </row>
    <row r="17" spans="1:7" ht="12.75">
      <c r="A17" s="247" t="s">
        <v>476</v>
      </c>
      <c r="B17" s="129"/>
      <c r="C17" s="129">
        <v>189932</v>
      </c>
      <c r="D17" s="129"/>
      <c r="E17" s="129"/>
      <c r="F17" s="129"/>
      <c r="G17" s="135">
        <f t="shared" si="0"/>
        <v>189932</v>
      </c>
    </row>
    <row r="18" spans="1:7" ht="12.75">
      <c r="A18" s="247" t="s">
        <v>476</v>
      </c>
      <c r="B18" s="129"/>
      <c r="C18" s="129">
        <v>848368</v>
      </c>
      <c r="D18" s="129"/>
      <c r="E18" s="129"/>
      <c r="F18" s="129"/>
      <c r="G18" s="135">
        <f t="shared" si="0"/>
        <v>848368</v>
      </c>
    </row>
    <row r="19" spans="1:7" ht="12.75">
      <c r="A19" s="247" t="s">
        <v>476</v>
      </c>
      <c r="B19" s="129"/>
      <c r="C19" s="129">
        <v>640407</v>
      </c>
      <c r="D19" s="129"/>
      <c r="E19" s="129"/>
      <c r="F19" s="129"/>
      <c r="G19" s="135">
        <f t="shared" si="0"/>
        <v>640407</v>
      </c>
    </row>
    <row r="20" spans="1:7" ht="12.75">
      <c r="A20" s="247" t="s">
        <v>476</v>
      </c>
      <c r="B20" s="129"/>
      <c r="C20" s="129">
        <v>815228</v>
      </c>
      <c r="D20" s="129"/>
      <c r="E20" s="129"/>
      <c r="F20" s="129"/>
      <c r="G20" s="135">
        <f t="shared" si="0"/>
        <v>815228</v>
      </c>
    </row>
    <row r="21" spans="1:7" ht="12.75">
      <c r="A21" s="247" t="s">
        <v>476</v>
      </c>
      <c r="B21" s="129"/>
      <c r="C21" s="129">
        <v>4827093</v>
      </c>
      <c r="D21" s="129"/>
      <c r="E21" s="129"/>
      <c r="F21" s="129"/>
      <c r="G21" s="135">
        <f t="shared" si="0"/>
        <v>4827093</v>
      </c>
    </row>
    <row r="22" spans="1:7" ht="12.75">
      <c r="A22" s="247" t="s">
        <v>475</v>
      </c>
      <c r="B22" s="129">
        <v>185831283.54</v>
      </c>
      <c r="C22" s="129"/>
      <c r="D22" s="129"/>
      <c r="E22" s="129"/>
      <c r="F22" s="129"/>
      <c r="G22" s="135">
        <f t="shared" si="0"/>
        <v>185831283.54</v>
      </c>
    </row>
    <row r="23" spans="1:7" ht="12.75">
      <c r="A23" s="247" t="s">
        <v>456</v>
      </c>
      <c r="B23" s="129">
        <v>9915399</v>
      </c>
      <c r="C23" s="129"/>
      <c r="D23" s="129"/>
      <c r="E23" s="129"/>
      <c r="F23" s="129"/>
      <c r="G23" s="135">
        <f t="shared" si="0"/>
        <v>9915399</v>
      </c>
    </row>
    <row r="24" spans="1:7" ht="12.75">
      <c r="A24" s="247" t="s">
        <v>456</v>
      </c>
      <c r="B24" s="129">
        <v>29359831</v>
      </c>
      <c r="C24" s="129"/>
      <c r="D24" s="129"/>
      <c r="E24" s="129"/>
      <c r="F24" s="129"/>
      <c r="G24" s="135">
        <f t="shared" si="0"/>
        <v>29359831</v>
      </c>
    </row>
    <row r="25" spans="1:7" ht="12.75">
      <c r="A25" s="247" t="s">
        <v>457</v>
      </c>
      <c r="B25" s="129"/>
      <c r="C25" s="129"/>
      <c r="D25" s="129"/>
      <c r="E25" s="129">
        <v>9389494</v>
      </c>
      <c r="F25" s="129"/>
      <c r="G25" s="135">
        <f>SUM(B25:F25)</f>
        <v>9389494</v>
      </c>
    </row>
    <row r="26" spans="1:7" ht="12.75">
      <c r="A26" s="247" t="s">
        <v>457</v>
      </c>
      <c r="B26" s="129"/>
      <c r="C26" s="129"/>
      <c r="D26" s="129"/>
      <c r="E26" s="129">
        <v>14885231</v>
      </c>
      <c r="F26" s="129"/>
      <c r="G26" s="135">
        <f>SUM(B26:F26)</f>
        <v>14885231</v>
      </c>
    </row>
    <row r="27" spans="1:7" ht="5.25" customHeight="1">
      <c r="A27" s="3"/>
      <c r="B27" s="135"/>
      <c r="C27" s="135"/>
      <c r="E27" s="135"/>
      <c r="F27" s="135"/>
      <c r="G27" s="135"/>
    </row>
    <row r="28" spans="1:7" ht="12.75">
      <c r="A28" s="258" t="s">
        <v>458</v>
      </c>
      <c r="B28" s="180">
        <f aca="true" t="shared" si="1" ref="B28:G28">SUM(B11:B27)</f>
        <v>227275401.54</v>
      </c>
      <c r="C28" s="180">
        <f t="shared" si="1"/>
        <v>11261980</v>
      </c>
      <c r="D28" s="180">
        <f t="shared" si="1"/>
        <v>1589361</v>
      </c>
      <c r="E28" s="180">
        <f t="shared" si="1"/>
        <v>24274725</v>
      </c>
      <c r="F28" s="180">
        <f t="shared" si="1"/>
        <v>0</v>
      </c>
      <c r="G28" s="180">
        <f t="shared" si="1"/>
        <v>264401467.54</v>
      </c>
    </row>
    <row r="29" spans="1:7" ht="12.75">
      <c r="A29" s="2"/>
      <c r="B29" s="24"/>
      <c r="C29" s="24"/>
      <c r="D29" s="24"/>
      <c r="E29" s="24"/>
      <c r="F29" s="24"/>
      <c r="G29" s="24"/>
    </row>
    <row r="30" spans="1:8" ht="12.75">
      <c r="A30" s="247" t="s">
        <v>500</v>
      </c>
      <c r="B30" s="135">
        <v>73970057</v>
      </c>
      <c r="C30" s="135"/>
      <c r="E30" s="135"/>
      <c r="F30" s="135"/>
      <c r="G30" s="135">
        <f>SUM(B30:F30)</f>
        <v>73970057</v>
      </c>
      <c r="H30" s="103"/>
    </row>
    <row r="31" spans="1:8" ht="12.75">
      <c r="A31" s="247" t="s">
        <v>459</v>
      </c>
      <c r="B31" s="135">
        <v>83827453.66</v>
      </c>
      <c r="C31" s="135"/>
      <c r="E31" s="135"/>
      <c r="F31" s="135"/>
      <c r="G31" s="135">
        <f>SUM(B31:F31)</f>
        <v>83827453.66</v>
      </c>
      <c r="H31" s="103"/>
    </row>
    <row r="32" spans="1:8" ht="12.75">
      <c r="A32" s="247" t="s">
        <v>501</v>
      </c>
      <c r="B32" s="135"/>
      <c r="C32" s="135"/>
      <c r="E32" s="135">
        <v>1711736.14</v>
      </c>
      <c r="F32" s="135"/>
      <c r="G32" s="135">
        <f aca="true" t="shared" si="2" ref="G32:G39">SUM(B32:F32)</f>
        <v>1711736.14</v>
      </c>
      <c r="H32" s="103"/>
    </row>
    <row r="33" spans="1:8" ht="12.75">
      <c r="A33" s="247" t="s">
        <v>501</v>
      </c>
      <c r="B33" s="135"/>
      <c r="C33" s="135"/>
      <c r="E33" s="135">
        <v>13414852.83</v>
      </c>
      <c r="F33" s="135"/>
      <c r="G33" s="135">
        <f t="shared" si="2"/>
        <v>13414852.83</v>
      </c>
      <c r="H33" s="103"/>
    </row>
    <row r="34" spans="1:8" ht="12.75">
      <c r="A34" s="247" t="s">
        <v>501</v>
      </c>
      <c r="B34" s="135"/>
      <c r="C34" s="135"/>
      <c r="E34" s="135">
        <v>14885239</v>
      </c>
      <c r="F34" s="135"/>
      <c r="G34" s="135">
        <f t="shared" si="2"/>
        <v>14885239</v>
      </c>
      <c r="H34" s="103"/>
    </row>
    <row r="35" spans="1:8" ht="12.75">
      <c r="A35" s="247" t="s">
        <v>501</v>
      </c>
      <c r="B35" s="135"/>
      <c r="C35" s="135"/>
      <c r="E35" s="135">
        <v>56556949</v>
      </c>
      <c r="F35" s="135"/>
      <c r="G35" s="135">
        <f t="shared" si="2"/>
        <v>56556949</v>
      </c>
      <c r="H35" s="103"/>
    </row>
    <row r="36" spans="1:8" ht="12.75">
      <c r="A36" s="247" t="s">
        <v>502</v>
      </c>
      <c r="B36" s="135"/>
      <c r="C36" s="135"/>
      <c r="D36" s="135">
        <v>50000000</v>
      </c>
      <c r="E36" s="135"/>
      <c r="F36" s="135"/>
      <c r="G36" s="135">
        <f t="shared" si="2"/>
        <v>50000000</v>
      </c>
      <c r="H36" s="103"/>
    </row>
    <row r="37" spans="1:8" ht="12.75">
      <c r="A37" s="247" t="s">
        <v>502</v>
      </c>
      <c r="B37" s="135"/>
      <c r="C37" s="135"/>
      <c r="D37" s="135"/>
      <c r="E37" s="135">
        <v>17053994.24</v>
      </c>
      <c r="F37" s="135"/>
      <c r="G37" s="135">
        <f t="shared" si="2"/>
        <v>17053994.24</v>
      </c>
      <c r="H37" s="103"/>
    </row>
    <row r="38" spans="1:8" ht="12.75">
      <c r="A38" s="247" t="s">
        <v>502</v>
      </c>
      <c r="B38" s="135"/>
      <c r="C38" s="135"/>
      <c r="E38" s="135">
        <v>45428647.54</v>
      </c>
      <c r="F38" s="135"/>
      <c r="G38" s="135">
        <f t="shared" si="2"/>
        <v>45428647.54</v>
      </c>
      <c r="H38" s="103"/>
    </row>
    <row r="39" spans="1:8" ht="12.75">
      <c r="A39" s="247" t="s">
        <v>503</v>
      </c>
      <c r="B39" s="135"/>
      <c r="C39" s="135">
        <v>20284.9</v>
      </c>
      <c r="E39" s="135"/>
      <c r="F39" s="135"/>
      <c r="G39" s="135">
        <f t="shared" si="2"/>
        <v>20284.9</v>
      </c>
      <c r="H39" s="103"/>
    </row>
    <row r="40" spans="1:8" ht="12.75">
      <c r="A40" s="247" t="s">
        <v>503</v>
      </c>
      <c r="B40" s="135"/>
      <c r="C40" s="135">
        <v>34313.73</v>
      </c>
      <c r="E40" s="135"/>
      <c r="F40" s="135"/>
      <c r="G40" s="135">
        <f>SUM(B40:F40)</f>
        <v>34313.73</v>
      </c>
      <c r="H40" s="103"/>
    </row>
    <row r="41" spans="1:8" ht="12.75">
      <c r="A41" s="247" t="s">
        <v>503</v>
      </c>
      <c r="B41" s="135"/>
      <c r="C41" s="135">
        <v>33078.43</v>
      </c>
      <c r="E41" s="135"/>
      <c r="F41" s="135"/>
      <c r="G41" s="135">
        <f aca="true" t="shared" si="3" ref="G41:G49">SUM(B41:F41)</f>
        <v>33078.43</v>
      </c>
      <c r="H41" s="103"/>
    </row>
    <row r="42" spans="1:8" ht="12.75">
      <c r="A42" s="247" t="s">
        <v>503</v>
      </c>
      <c r="B42" s="135"/>
      <c r="C42" s="135">
        <v>97568.62</v>
      </c>
      <c r="E42" s="135"/>
      <c r="F42" s="135"/>
      <c r="G42" s="135">
        <f t="shared" si="3"/>
        <v>97568.62</v>
      </c>
      <c r="H42" s="103"/>
    </row>
    <row r="43" spans="1:8" ht="12.75">
      <c r="A43" s="247" t="s">
        <v>503</v>
      </c>
      <c r="B43" s="135"/>
      <c r="C43" s="135">
        <v>29901.96</v>
      </c>
      <c r="E43" s="135"/>
      <c r="F43" s="135"/>
      <c r="G43" s="135">
        <f t="shared" si="3"/>
        <v>29901.96</v>
      </c>
      <c r="H43" s="103"/>
    </row>
    <row r="44" spans="1:8" ht="12.75">
      <c r="A44" s="247" t="s">
        <v>503</v>
      </c>
      <c r="B44" s="135"/>
      <c r="C44" s="135">
        <v>186333.33</v>
      </c>
      <c r="E44" s="135"/>
      <c r="F44" s="135"/>
      <c r="G44" s="135">
        <f t="shared" si="3"/>
        <v>186333.33</v>
      </c>
      <c r="H44" s="103"/>
    </row>
    <row r="45" spans="1:8" ht="12.75">
      <c r="A45" s="247" t="s">
        <v>503</v>
      </c>
      <c r="B45" s="135"/>
      <c r="C45" s="135">
        <v>95853.08</v>
      </c>
      <c r="E45" s="135"/>
      <c r="F45" s="135"/>
      <c r="G45" s="135">
        <f t="shared" si="3"/>
        <v>95853.08</v>
      </c>
      <c r="H45" s="103"/>
    </row>
    <row r="46" spans="1:8" ht="12.75">
      <c r="A46" s="247" t="s">
        <v>503</v>
      </c>
      <c r="B46" s="135"/>
      <c r="C46" s="135">
        <v>32362.61</v>
      </c>
      <c r="E46" s="135"/>
      <c r="F46" s="135"/>
      <c r="G46" s="135">
        <f t="shared" si="3"/>
        <v>32362.61</v>
      </c>
      <c r="H46" s="103"/>
    </row>
    <row r="47" spans="1:8" ht="12.75">
      <c r="A47" s="247" t="s">
        <v>503</v>
      </c>
      <c r="B47" s="135"/>
      <c r="C47" s="135">
        <v>185862.75</v>
      </c>
      <c r="E47" s="135"/>
      <c r="F47" s="135"/>
      <c r="G47" s="135">
        <f t="shared" si="3"/>
        <v>185862.75</v>
      </c>
      <c r="H47" s="103"/>
    </row>
    <row r="48" spans="1:8" ht="12.75">
      <c r="A48" s="247" t="s">
        <v>503</v>
      </c>
      <c r="B48" s="135"/>
      <c r="C48" s="135">
        <v>148647.06</v>
      </c>
      <c r="E48" s="135"/>
      <c r="F48" s="135"/>
      <c r="G48" s="135">
        <f t="shared" si="3"/>
        <v>148647.06</v>
      </c>
      <c r="H48" s="103"/>
    </row>
    <row r="49" spans="1:8" ht="12.75">
      <c r="A49" s="247" t="s">
        <v>503</v>
      </c>
      <c r="B49" s="135"/>
      <c r="C49" s="135"/>
      <c r="E49" s="135"/>
      <c r="F49" s="135">
        <v>50000000</v>
      </c>
      <c r="G49" s="135">
        <f t="shared" si="3"/>
        <v>50000000</v>
      </c>
      <c r="H49" s="103"/>
    </row>
    <row r="50" spans="1:8" ht="12.75">
      <c r="A50" s="247" t="s">
        <v>504</v>
      </c>
      <c r="B50" s="135"/>
      <c r="C50" s="135">
        <v>71286.83</v>
      </c>
      <c r="D50" s="135"/>
      <c r="E50" s="135"/>
      <c r="F50" s="135"/>
      <c r="G50" s="135">
        <f aca="true" t="shared" si="4" ref="G50:G59">SUM(B50:F50)</f>
        <v>71286.83</v>
      </c>
      <c r="H50" s="103"/>
    </row>
    <row r="51" spans="1:8" ht="12.75">
      <c r="A51" s="247" t="s">
        <v>504</v>
      </c>
      <c r="B51" s="135"/>
      <c r="C51" s="135">
        <v>16132.31</v>
      </c>
      <c r="D51" s="135"/>
      <c r="E51" s="135"/>
      <c r="F51" s="135"/>
      <c r="G51" s="135">
        <f t="shared" si="4"/>
        <v>16132.31</v>
      </c>
      <c r="H51" s="103"/>
    </row>
    <row r="52" spans="1:8" ht="12.75">
      <c r="A52" s="247" t="s">
        <v>504</v>
      </c>
      <c r="B52" s="135"/>
      <c r="C52" s="135">
        <v>37996.53</v>
      </c>
      <c r="D52" s="135"/>
      <c r="E52" s="135"/>
      <c r="F52" s="135"/>
      <c r="G52" s="135">
        <f t="shared" si="4"/>
        <v>37996.53</v>
      </c>
      <c r="H52" s="103"/>
    </row>
    <row r="53" spans="1:8" ht="12.75">
      <c r="A53" s="247" t="s">
        <v>504</v>
      </c>
      <c r="B53" s="135"/>
      <c r="C53" s="135">
        <v>264910.99</v>
      </c>
      <c r="D53" s="135"/>
      <c r="E53" s="135"/>
      <c r="F53" s="135"/>
      <c r="G53" s="135">
        <f t="shared" si="4"/>
        <v>264910.99</v>
      </c>
      <c r="H53" s="103"/>
    </row>
    <row r="54" spans="1:8" ht="12.75">
      <c r="A54" s="247" t="s">
        <v>504</v>
      </c>
      <c r="B54" s="135"/>
      <c r="C54" s="135">
        <v>51982.27</v>
      </c>
      <c r="D54" s="135"/>
      <c r="E54" s="135"/>
      <c r="F54" s="135"/>
      <c r="G54" s="135">
        <f t="shared" si="4"/>
        <v>51982.27</v>
      </c>
      <c r="H54" s="103"/>
    </row>
    <row r="55" spans="1:8" ht="12.75">
      <c r="A55" s="247" t="s">
        <v>504</v>
      </c>
      <c r="B55" s="135"/>
      <c r="C55" s="135">
        <v>75007.35</v>
      </c>
      <c r="D55" s="135"/>
      <c r="E55" s="135"/>
      <c r="F55" s="135"/>
      <c r="G55" s="135">
        <f t="shared" si="4"/>
        <v>75007.35</v>
      </c>
      <c r="H55" s="103"/>
    </row>
    <row r="56" spans="1:8" ht="12.75">
      <c r="A56" s="247" t="s">
        <v>504</v>
      </c>
      <c r="B56" s="135"/>
      <c r="C56" s="135">
        <v>229339.7</v>
      </c>
      <c r="D56" s="135"/>
      <c r="E56" s="135"/>
      <c r="F56" s="135"/>
      <c r="G56" s="135">
        <f t="shared" si="4"/>
        <v>229339.7</v>
      </c>
      <c r="H56" s="103"/>
    </row>
    <row r="57" spans="1:8" ht="12.75">
      <c r="A57" s="247" t="s">
        <v>504</v>
      </c>
      <c r="B57" s="135"/>
      <c r="C57" s="135">
        <v>229339.7</v>
      </c>
      <c r="E57" s="135"/>
      <c r="F57" s="135"/>
      <c r="G57" s="135">
        <f t="shared" si="4"/>
        <v>229339.7</v>
      </c>
      <c r="H57" s="103"/>
    </row>
    <row r="58" spans="1:8" ht="12.75">
      <c r="A58" s="247" t="s">
        <v>504</v>
      </c>
      <c r="B58" s="135"/>
      <c r="C58" s="135"/>
      <c r="D58" s="135">
        <v>500000</v>
      </c>
      <c r="E58" s="135"/>
      <c r="F58" s="135"/>
      <c r="G58" s="135">
        <f t="shared" si="4"/>
        <v>500000</v>
      </c>
      <c r="H58" s="103"/>
    </row>
    <row r="59" spans="1:8" ht="12.75">
      <c r="A59" s="247" t="s">
        <v>505</v>
      </c>
      <c r="B59" s="135"/>
      <c r="C59" s="135"/>
      <c r="D59" s="135">
        <v>100000000</v>
      </c>
      <c r="E59" s="135"/>
      <c r="F59" s="135"/>
      <c r="G59" s="135">
        <f t="shared" si="4"/>
        <v>100000000</v>
      </c>
      <c r="H59" s="103"/>
    </row>
    <row r="60" spans="1:8" ht="6" customHeight="1">
      <c r="A60" s="3"/>
      <c r="B60" s="135"/>
      <c r="C60" s="135"/>
      <c r="E60" s="135"/>
      <c r="F60" s="135"/>
      <c r="G60" s="135"/>
      <c r="H60" s="103"/>
    </row>
    <row r="61" spans="1:8" ht="12.75" customHeight="1">
      <c r="A61" s="258" t="s">
        <v>460</v>
      </c>
      <c r="B61" s="180">
        <f aca="true" t="shared" si="5" ref="B61:G61">SUM(B30:B59)</f>
        <v>157797510.66</v>
      </c>
      <c r="C61" s="180">
        <f t="shared" si="5"/>
        <v>1840202.15</v>
      </c>
      <c r="D61" s="180">
        <f t="shared" si="5"/>
        <v>150500000</v>
      </c>
      <c r="E61" s="180">
        <f t="shared" si="5"/>
        <v>149051418.75</v>
      </c>
      <c r="F61" s="180">
        <f t="shared" si="5"/>
        <v>50000000</v>
      </c>
      <c r="G61" s="180">
        <f t="shared" si="5"/>
        <v>509189131.55999994</v>
      </c>
      <c r="H61" s="103"/>
    </row>
    <row r="62" spans="7:8" ht="12.75" customHeight="1">
      <c r="G62" s="29"/>
      <c r="H62" s="103"/>
    </row>
    <row r="63" spans="1:8" ht="12.75" customHeight="1">
      <c r="A63" s="247" t="s">
        <v>506</v>
      </c>
      <c r="B63" s="129"/>
      <c r="C63" s="129">
        <v>1165145.55</v>
      </c>
      <c r="D63" s="129"/>
      <c r="E63" s="129"/>
      <c r="F63" s="129"/>
      <c r="G63" s="135">
        <f aca="true" t="shared" si="6" ref="G63:G77">SUM(B63:F63)</f>
        <v>1165145.55</v>
      </c>
      <c r="H63" s="103"/>
    </row>
    <row r="64" spans="1:8" ht="12.75" customHeight="1">
      <c r="A64" s="247" t="s">
        <v>506</v>
      </c>
      <c r="B64" s="129"/>
      <c r="C64" s="129">
        <v>539772.94</v>
      </c>
      <c r="D64" s="129"/>
      <c r="E64" s="129"/>
      <c r="F64" s="129"/>
      <c r="G64" s="135">
        <f t="shared" si="6"/>
        <v>539772.94</v>
      </c>
      <c r="H64" s="103"/>
    </row>
    <row r="65" spans="1:8" ht="12.75" customHeight="1">
      <c r="A65" s="247" t="s">
        <v>506</v>
      </c>
      <c r="B65" s="129"/>
      <c r="C65" s="129">
        <v>400975.11</v>
      </c>
      <c r="D65" s="129"/>
      <c r="E65" s="129"/>
      <c r="F65" s="129"/>
      <c r="G65" s="135">
        <f t="shared" si="6"/>
        <v>400975.11</v>
      </c>
      <c r="H65" s="103"/>
    </row>
    <row r="66" spans="1:8" ht="12.75" customHeight="1">
      <c r="A66" s="247" t="s">
        <v>506</v>
      </c>
      <c r="B66" s="129"/>
      <c r="C66" s="129">
        <v>432286.01</v>
      </c>
      <c r="D66" s="129"/>
      <c r="E66" s="129"/>
      <c r="F66" s="129"/>
      <c r="G66" s="135">
        <f t="shared" si="6"/>
        <v>432286.01</v>
      </c>
      <c r="H66" s="103"/>
    </row>
    <row r="67" spans="1:8" ht="12.75" customHeight="1">
      <c r="A67" s="247" t="s">
        <v>506</v>
      </c>
      <c r="B67" s="129"/>
      <c r="C67" s="129">
        <v>124999.06</v>
      </c>
      <c r="D67" s="129"/>
      <c r="E67" s="129"/>
      <c r="F67" s="129"/>
      <c r="G67" s="135">
        <f t="shared" si="6"/>
        <v>124999.06</v>
      </c>
      <c r="H67" s="103"/>
    </row>
    <row r="68" spans="1:8" ht="12.75" customHeight="1">
      <c r="A68" s="247" t="s">
        <v>506</v>
      </c>
      <c r="B68" s="129"/>
      <c r="C68" s="129">
        <v>1224204.54</v>
      </c>
      <c r="D68" s="129"/>
      <c r="E68" s="129"/>
      <c r="F68" s="129"/>
      <c r="G68" s="135">
        <f t="shared" si="6"/>
        <v>1224204.54</v>
      </c>
      <c r="H68" s="103"/>
    </row>
    <row r="69" spans="1:8" ht="12.75" customHeight="1">
      <c r="A69" s="247" t="s">
        <v>506</v>
      </c>
      <c r="B69" s="129"/>
      <c r="C69" s="129">
        <v>359971.57</v>
      </c>
      <c r="D69" s="129"/>
      <c r="E69" s="129"/>
      <c r="F69" s="129"/>
      <c r="G69" s="135">
        <f t="shared" si="6"/>
        <v>359971.57</v>
      </c>
      <c r="H69" s="103"/>
    </row>
    <row r="70" spans="1:8" ht="12.75" customHeight="1">
      <c r="A70" s="247" t="s">
        <v>506</v>
      </c>
      <c r="B70" s="129"/>
      <c r="C70" s="129">
        <v>97682.09</v>
      </c>
      <c r="D70" s="129"/>
      <c r="E70" s="129"/>
      <c r="F70" s="129"/>
      <c r="G70" s="135">
        <f t="shared" si="6"/>
        <v>97682.09</v>
      </c>
      <c r="H70" s="103"/>
    </row>
    <row r="71" spans="1:8" ht="12.75" customHeight="1">
      <c r="A71" s="247" t="s">
        <v>461</v>
      </c>
      <c r="B71" s="129">
        <v>100000000</v>
      </c>
      <c r="C71" s="129"/>
      <c r="D71" s="129"/>
      <c r="E71" s="129"/>
      <c r="F71" s="129"/>
      <c r="G71" s="135">
        <f t="shared" si="6"/>
        <v>100000000</v>
      </c>
      <c r="H71" s="103"/>
    </row>
    <row r="72" spans="1:8" ht="12.75" customHeight="1">
      <c r="A72" s="247" t="s">
        <v>462</v>
      </c>
      <c r="B72" s="129"/>
      <c r="C72" s="129">
        <v>198094.8</v>
      </c>
      <c r="D72" s="129"/>
      <c r="E72" s="129"/>
      <c r="F72" s="129"/>
      <c r="G72" s="135">
        <f t="shared" si="6"/>
        <v>198094.8</v>
      </c>
      <c r="H72" s="103"/>
    </row>
    <row r="73" spans="1:8" ht="12.75" customHeight="1">
      <c r="A73" s="247" t="s">
        <v>462</v>
      </c>
      <c r="B73" s="129"/>
      <c r="C73" s="129">
        <v>124916.97</v>
      </c>
      <c r="D73" s="129"/>
      <c r="E73" s="129"/>
      <c r="F73" s="129"/>
      <c r="G73" s="135">
        <f t="shared" si="6"/>
        <v>124916.97</v>
      </c>
      <c r="H73" s="103"/>
    </row>
    <row r="74" spans="1:8" ht="12.75" customHeight="1">
      <c r="A74" s="247" t="s">
        <v>463</v>
      </c>
      <c r="C74" s="129"/>
      <c r="D74" s="129">
        <v>27000000</v>
      </c>
      <c r="E74" s="129"/>
      <c r="F74" s="129"/>
      <c r="G74" s="135">
        <f t="shared" si="6"/>
        <v>27000000</v>
      </c>
      <c r="H74" s="103"/>
    </row>
    <row r="75" spans="1:8" ht="12.75" customHeight="1">
      <c r="A75" s="247" t="s">
        <v>508</v>
      </c>
      <c r="B75" s="129"/>
      <c r="C75" s="129"/>
      <c r="D75" s="129"/>
      <c r="E75" s="129">
        <v>65000000</v>
      </c>
      <c r="F75" s="129"/>
      <c r="G75" s="135">
        <f t="shared" si="6"/>
        <v>65000000</v>
      </c>
      <c r="H75" s="103"/>
    </row>
    <row r="76" spans="1:8" ht="12.75" customHeight="1">
      <c r="A76" s="247" t="s">
        <v>507</v>
      </c>
      <c r="B76" s="129">
        <v>270424000</v>
      </c>
      <c r="C76" s="129"/>
      <c r="D76" s="129"/>
      <c r="E76" s="129"/>
      <c r="F76" s="129"/>
      <c r="G76" s="135">
        <f t="shared" si="6"/>
        <v>270424000</v>
      </c>
      <c r="H76" s="103"/>
    </row>
    <row r="77" spans="1:8" ht="12.75" customHeight="1">
      <c r="A77" s="247" t="s">
        <v>507</v>
      </c>
      <c r="B77" s="129">
        <v>26314000</v>
      </c>
      <c r="C77" s="129"/>
      <c r="D77" s="129"/>
      <c r="E77" s="129"/>
      <c r="F77" s="129"/>
      <c r="G77" s="135">
        <f t="shared" si="6"/>
        <v>26314000</v>
      </c>
      <c r="H77" s="103"/>
    </row>
    <row r="78" spans="1:8" ht="6" customHeight="1">
      <c r="A78" s="247"/>
      <c r="B78" s="135"/>
      <c r="C78" s="135"/>
      <c r="E78" s="135"/>
      <c r="F78" s="135"/>
      <c r="G78" s="135"/>
      <c r="H78" s="103"/>
    </row>
    <row r="79" spans="1:7" ht="12.75">
      <c r="A79" s="259" t="s">
        <v>464</v>
      </c>
      <c r="B79" s="180">
        <f aca="true" t="shared" si="7" ref="B79:G79">SUM(B63:B78)</f>
        <v>396738000</v>
      </c>
      <c r="C79" s="180">
        <f t="shared" si="7"/>
        <v>4668048.64</v>
      </c>
      <c r="D79" s="180">
        <f t="shared" si="7"/>
        <v>27000000</v>
      </c>
      <c r="E79" s="180">
        <f t="shared" si="7"/>
        <v>65000000</v>
      </c>
      <c r="F79" s="180">
        <f t="shared" si="7"/>
        <v>0</v>
      </c>
      <c r="G79" s="180">
        <f t="shared" si="7"/>
        <v>493406048.64</v>
      </c>
    </row>
    <row r="80" ht="6.75" customHeight="1">
      <c r="A80" s="260"/>
    </row>
    <row r="81" spans="1:7" ht="13.5" thickBot="1">
      <c r="A81" s="261" t="s">
        <v>111</v>
      </c>
      <c r="B81" s="201">
        <f aca="true" t="shared" si="8" ref="B81:G81">SUM(B28+B61+B79)</f>
        <v>781810912.2</v>
      </c>
      <c r="C81" s="201">
        <f t="shared" si="8"/>
        <v>17770230.79</v>
      </c>
      <c r="D81" s="201">
        <f t="shared" si="8"/>
        <v>179089361</v>
      </c>
      <c r="E81" s="201">
        <f t="shared" si="8"/>
        <v>238326143.75</v>
      </c>
      <c r="F81" s="201">
        <f t="shared" si="8"/>
        <v>50000000</v>
      </c>
      <c r="G81" s="201">
        <f t="shared" si="8"/>
        <v>1266996647.7399998</v>
      </c>
    </row>
    <row r="82" ht="13.5" thickTop="1"/>
  </sheetData>
  <mergeCells count="4">
    <mergeCell ref="A2:G2"/>
    <mergeCell ref="A3:G3"/>
    <mergeCell ref="A4:G4"/>
    <mergeCell ref="A5:G5"/>
  </mergeCells>
  <printOptions/>
  <pageMargins left="0.7874015748031497" right="0.5905511811023623" top="0.7874015748031497" bottom="0.7874015748031497" header="0" footer="0.3937007874015748"/>
  <pageSetup horizontalDpi="600" verticalDpi="600" orientation="portrait" r:id="rId1"/>
  <headerFooter alignWithMargins="0"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B1" sqref="B1:E16384"/>
    </sheetView>
  </sheetViews>
  <sheetFormatPr defaultColWidth="11.421875" defaultRowHeight="12.75"/>
  <cols>
    <col min="1" max="1" width="33.8515625" style="1" customWidth="1"/>
    <col min="2" max="5" width="12.8515625" style="23" customWidth="1"/>
    <col min="6" max="6" width="6.57421875" style="1" customWidth="1"/>
    <col min="7" max="7" width="2.140625" style="1" customWidth="1"/>
    <col min="8" max="8" width="12.7109375" style="1" bestFit="1" customWidth="1"/>
    <col min="9" max="16384" width="11.421875" style="1" customWidth="1"/>
  </cols>
  <sheetData>
    <row r="1" spans="1:6" ht="12.75" customHeight="1">
      <c r="A1" s="94"/>
      <c r="B1" s="95"/>
      <c r="C1" s="95"/>
      <c r="D1" s="95"/>
      <c r="E1" s="285" t="s">
        <v>5</v>
      </c>
      <c r="F1" s="285"/>
    </row>
    <row r="2" spans="1:6" ht="12.75" customHeight="1">
      <c r="A2" s="283" t="s">
        <v>309</v>
      </c>
      <c r="B2" s="283"/>
      <c r="C2" s="283"/>
      <c r="D2" s="283"/>
      <c r="E2" s="283"/>
      <c r="F2" s="283"/>
    </row>
    <row r="3" spans="1:7" ht="12.75" customHeight="1">
      <c r="A3" s="283" t="s">
        <v>524</v>
      </c>
      <c r="B3" s="283"/>
      <c r="C3" s="283"/>
      <c r="D3" s="283"/>
      <c r="E3" s="283"/>
      <c r="F3" s="283"/>
      <c r="G3" s="217"/>
    </row>
    <row r="4" spans="1:6" ht="12.75" customHeight="1">
      <c r="A4" s="283" t="s">
        <v>312</v>
      </c>
      <c r="B4" s="283"/>
      <c r="C4" s="283"/>
      <c r="D4" s="283"/>
      <c r="E4" s="283"/>
      <c r="F4" s="283"/>
    </row>
    <row r="5" spans="1:7" ht="12.75" customHeight="1">
      <c r="A5" s="283" t="s">
        <v>452</v>
      </c>
      <c r="B5" s="283"/>
      <c r="C5" s="283"/>
      <c r="D5" s="283"/>
      <c r="E5" s="283"/>
      <c r="F5" s="283"/>
      <c r="G5" s="217"/>
    </row>
    <row r="6" spans="1:6" ht="18.75" customHeight="1">
      <c r="A6" s="17"/>
      <c r="B6" s="17"/>
      <c r="C6" s="17"/>
      <c r="D6" s="17"/>
      <c r="E6" s="17"/>
      <c r="F6" s="17"/>
    </row>
    <row r="7" spans="1:6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spans="1:6" ht="9" customHeight="1">
      <c r="A8" s="2"/>
      <c r="B8" s="24"/>
      <c r="C8" s="24"/>
      <c r="D8" s="24"/>
      <c r="E8" s="24"/>
      <c r="F8" s="2"/>
    </row>
    <row r="9" spans="1:6" ht="12.75">
      <c r="A9" s="7" t="s">
        <v>35</v>
      </c>
      <c r="B9" s="130">
        <v>418912</v>
      </c>
      <c r="C9" s="135">
        <v>465100</v>
      </c>
      <c r="D9" s="130">
        <v>415390</v>
      </c>
      <c r="E9" s="130">
        <f aca="true" t="shared" si="0" ref="E9:E27">SUM(B9:D9)</f>
        <v>1299402</v>
      </c>
      <c r="F9" s="136">
        <f aca="true" t="shared" si="1" ref="F9:F27">(E9/$E$49*100)</f>
        <v>4.31614307173543</v>
      </c>
    </row>
    <row r="10" spans="1:6" ht="12.75">
      <c r="A10" s="7" t="s">
        <v>36</v>
      </c>
      <c r="B10" s="135">
        <v>49185</v>
      </c>
      <c r="C10" s="130">
        <v>16145</v>
      </c>
      <c r="D10" s="135">
        <v>27055</v>
      </c>
      <c r="E10" s="130">
        <f t="shared" si="0"/>
        <v>92385</v>
      </c>
      <c r="F10" s="136">
        <f t="shared" si="1"/>
        <v>0.306869527430524</v>
      </c>
    </row>
    <row r="11" spans="1:6" ht="12.75">
      <c r="A11" s="7" t="s">
        <v>37</v>
      </c>
      <c r="B11" s="135">
        <v>5269801</v>
      </c>
      <c r="C11" s="130">
        <v>3751649</v>
      </c>
      <c r="D11" s="135">
        <v>3883171</v>
      </c>
      <c r="E11" s="130">
        <f t="shared" si="0"/>
        <v>12904621</v>
      </c>
      <c r="F11" s="136">
        <f t="shared" si="1"/>
        <v>42.86447960101765</v>
      </c>
    </row>
    <row r="12" spans="1:6" ht="12.75">
      <c r="A12" s="7" t="s">
        <v>38</v>
      </c>
      <c r="B12" s="130">
        <v>205460</v>
      </c>
      <c r="C12" s="130">
        <v>89361</v>
      </c>
      <c r="D12" s="130">
        <v>116060</v>
      </c>
      <c r="E12" s="130">
        <f t="shared" si="0"/>
        <v>410881</v>
      </c>
      <c r="F12" s="136">
        <f t="shared" si="1"/>
        <v>1.364797946638319</v>
      </c>
    </row>
    <row r="13" spans="1:6" ht="12.75">
      <c r="A13" s="7" t="s">
        <v>39</v>
      </c>
      <c r="B13" s="130">
        <v>45867</v>
      </c>
      <c r="C13" s="130">
        <v>25819</v>
      </c>
      <c r="D13" s="130">
        <v>22838</v>
      </c>
      <c r="E13" s="130">
        <f t="shared" si="0"/>
        <v>94524</v>
      </c>
      <c r="F13" s="136">
        <f t="shared" si="1"/>
        <v>0.3139745111310586</v>
      </c>
    </row>
    <row r="14" spans="1:6" ht="12.75">
      <c r="A14" s="7" t="s">
        <v>40</v>
      </c>
      <c r="B14" s="130">
        <v>840750.2</v>
      </c>
      <c r="C14" s="130">
        <v>530547.5</v>
      </c>
      <c r="D14" s="130">
        <v>686386.1</v>
      </c>
      <c r="E14" s="130">
        <f t="shared" si="0"/>
        <v>2057683.7999999998</v>
      </c>
      <c r="F14" s="136">
        <f t="shared" si="1"/>
        <v>6.834880719894406</v>
      </c>
    </row>
    <row r="15" spans="1:6" ht="12.75">
      <c r="A15" s="6" t="s">
        <v>41</v>
      </c>
      <c r="B15" s="130">
        <f>124212+10077+1184+5094+259</f>
        <v>140826</v>
      </c>
      <c r="C15" s="130">
        <f>64126+37+7012</f>
        <v>71175</v>
      </c>
      <c r="D15" s="130">
        <f>1734089+10434</f>
        <v>1744523</v>
      </c>
      <c r="E15" s="130">
        <f t="shared" si="0"/>
        <v>1956524</v>
      </c>
      <c r="F15" s="136">
        <f t="shared" si="1"/>
        <v>6.498864483265448</v>
      </c>
    </row>
    <row r="16" spans="1:6" ht="12.75">
      <c r="A16" s="6" t="s">
        <v>179</v>
      </c>
      <c r="B16" s="135">
        <f>441579+115350</f>
        <v>556929</v>
      </c>
      <c r="C16" s="130">
        <f>74350+14650</f>
        <v>89000</v>
      </c>
      <c r="D16" s="135">
        <f>528500+74800</f>
        <v>603300</v>
      </c>
      <c r="E16" s="130">
        <f t="shared" si="0"/>
        <v>1249229</v>
      </c>
      <c r="F16" s="136">
        <f t="shared" si="1"/>
        <v>4.149486527926677</v>
      </c>
    </row>
    <row r="17" spans="1:6" ht="12.75">
      <c r="A17" s="6" t="s">
        <v>42</v>
      </c>
      <c r="B17" s="130">
        <f>147075+5876+3415+3247+150</f>
        <v>159763</v>
      </c>
      <c r="C17" s="130">
        <f>76719+2193+4057</f>
        <v>82969</v>
      </c>
      <c r="D17" s="130">
        <f>232769+12224</f>
        <v>244993</v>
      </c>
      <c r="E17" s="130">
        <f t="shared" si="0"/>
        <v>487725</v>
      </c>
      <c r="F17" s="136">
        <f t="shared" si="1"/>
        <v>1.620045897776179</v>
      </c>
    </row>
    <row r="18" spans="1:6" ht="12.75">
      <c r="A18" s="7" t="s">
        <v>43</v>
      </c>
      <c r="B18" s="135">
        <f>724139+39700</f>
        <v>763839</v>
      </c>
      <c r="C18" s="130">
        <f>150966+17402</f>
        <v>168368</v>
      </c>
      <c r="D18" s="135">
        <f>210449+25342</f>
        <v>235791</v>
      </c>
      <c r="E18" s="130">
        <f t="shared" si="0"/>
        <v>1167998</v>
      </c>
      <c r="F18" s="136">
        <f t="shared" si="1"/>
        <v>3.879666550844803</v>
      </c>
    </row>
    <row r="19" spans="1:6" ht="12.75">
      <c r="A19" s="7" t="s">
        <v>44</v>
      </c>
      <c r="B19" s="135">
        <f>34936+6878</f>
        <v>41814</v>
      </c>
      <c r="C19" s="130">
        <f>24204+2972</f>
        <v>27176</v>
      </c>
      <c r="D19" s="135">
        <f>20925+4289</f>
        <v>25214</v>
      </c>
      <c r="E19" s="130">
        <f t="shared" si="0"/>
        <v>94204</v>
      </c>
      <c r="F19" s="136">
        <f t="shared" si="1"/>
        <v>0.31291158696828575</v>
      </c>
    </row>
    <row r="20" spans="1:6" ht="12.75">
      <c r="A20" s="6" t="s">
        <v>556</v>
      </c>
      <c r="B20" s="135">
        <f>10377+800</f>
        <v>11177</v>
      </c>
      <c r="C20" s="130">
        <f>5865+1800</f>
        <v>7665</v>
      </c>
      <c r="D20" s="135">
        <f>67300+1400</f>
        <v>68700</v>
      </c>
      <c r="E20" s="130">
        <f t="shared" si="0"/>
        <v>87542</v>
      </c>
      <c r="F20" s="136">
        <f t="shared" si="1"/>
        <v>0.29078283455455894</v>
      </c>
    </row>
    <row r="21" spans="1:6" ht="12.75">
      <c r="A21" s="7" t="s">
        <v>180</v>
      </c>
      <c r="B21" s="135">
        <f>270500+71500</f>
        <v>342000</v>
      </c>
      <c r="C21" s="130">
        <f>47500+9000</f>
        <v>56500</v>
      </c>
      <c r="D21" s="135">
        <f>342420+47500</f>
        <v>389920</v>
      </c>
      <c r="E21" s="130">
        <f t="shared" si="0"/>
        <v>788420</v>
      </c>
      <c r="F21" s="136">
        <f t="shared" si="1"/>
        <v>2.618845838791727</v>
      </c>
    </row>
    <row r="22" spans="1:6" ht="12.75">
      <c r="A22" s="7" t="s">
        <v>45</v>
      </c>
      <c r="B22" s="135">
        <v>29909</v>
      </c>
      <c r="C22" s="130">
        <f>15782</f>
        <v>15782</v>
      </c>
      <c r="D22" s="135">
        <v>91976</v>
      </c>
      <c r="E22" s="130">
        <f t="shared" si="0"/>
        <v>137667</v>
      </c>
      <c r="F22" s="136">
        <f t="shared" si="1"/>
        <v>0.45727993973889636</v>
      </c>
    </row>
    <row r="23" spans="1:6" ht="12.75">
      <c r="A23" s="7" t="s">
        <v>359</v>
      </c>
      <c r="B23" s="135">
        <v>44665</v>
      </c>
      <c r="C23" s="130">
        <f>109758</f>
        <v>109758</v>
      </c>
      <c r="D23" s="135">
        <v>482819</v>
      </c>
      <c r="E23" s="130">
        <f t="shared" si="0"/>
        <v>637242</v>
      </c>
      <c r="F23" s="136">
        <f t="shared" si="1"/>
        <v>2.1166872479177568</v>
      </c>
    </row>
    <row r="24" spans="1:6" ht="12.75">
      <c r="A24" s="7" t="s">
        <v>573</v>
      </c>
      <c r="B24" s="135">
        <v>600</v>
      </c>
      <c r="C24" s="130">
        <v>5100</v>
      </c>
      <c r="D24" s="135">
        <v>42000</v>
      </c>
      <c r="E24" s="130">
        <f t="shared" si="0"/>
        <v>47700</v>
      </c>
      <c r="F24" s="136">
        <f t="shared" si="1"/>
        <v>0.1584421330133246</v>
      </c>
    </row>
    <row r="25" spans="1:6" ht="12.75">
      <c r="A25" s="7" t="s">
        <v>327</v>
      </c>
      <c r="B25" s="135">
        <v>55030</v>
      </c>
      <c r="C25" s="130">
        <f>19500+1690000</f>
        <v>1709500</v>
      </c>
      <c r="D25" s="135">
        <v>124480</v>
      </c>
      <c r="E25" s="130">
        <f t="shared" si="0"/>
        <v>1889010</v>
      </c>
      <c r="F25" s="136">
        <f t="shared" si="1"/>
        <v>6.274607414748434</v>
      </c>
    </row>
    <row r="26" spans="1:6" ht="12.75">
      <c r="A26" s="7" t="s">
        <v>424</v>
      </c>
      <c r="B26" s="135">
        <v>7695</v>
      </c>
      <c r="C26" s="130">
        <f>2700</f>
        <v>2700</v>
      </c>
      <c r="D26" s="135">
        <v>1755</v>
      </c>
      <c r="E26" s="130">
        <f t="shared" si="0"/>
        <v>12150</v>
      </c>
      <c r="F26" s="136">
        <f t="shared" si="1"/>
        <v>0.040357901805280795</v>
      </c>
    </row>
    <row r="27" spans="1:7" ht="12.75">
      <c r="A27" s="7" t="s">
        <v>46</v>
      </c>
      <c r="B27" s="130">
        <v>975191</v>
      </c>
      <c r="C27" s="130">
        <f>994781</f>
        <v>994781</v>
      </c>
      <c r="D27" s="130">
        <v>1130349</v>
      </c>
      <c r="E27" s="130">
        <f t="shared" si="0"/>
        <v>3100321</v>
      </c>
      <c r="F27" s="136">
        <f t="shared" si="1"/>
        <v>10.298144072662547</v>
      </c>
      <c r="G27" s="12" t="s">
        <v>23</v>
      </c>
    </row>
    <row r="28" spans="1:8" ht="12.75">
      <c r="A28" s="8" t="s">
        <v>225</v>
      </c>
      <c r="B28" s="141">
        <f>SUM(B9:B27)</f>
        <v>9959413.2</v>
      </c>
      <c r="C28" s="141">
        <f>SUM(C9:C27)</f>
        <v>8219095.5</v>
      </c>
      <c r="D28" s="141">
        <f>SUM(D9:D27)</f>
        <v>10336720.1</v>
      </c>
      <c r="E28" s="141">
        <f>SUM(E9:E27)</f>
        <v>28515228.8</v>
      </c>
      <c r="F28" s="142">
        <f>SUM(F9:F27)</f>
        <v>94.7172678078613</v>
      </c>
      <c r="H28" s="23"/>
    </row>
    <row r="29" spans="1:6" ht="12.75">
      <c r="A29" s="135"/>
      <c r="B29" s="143"/>
      <c r="C29" s="143"/>
      <c r="D29" s="103"/>
      <c r="E29" s="143"/>
      <c r="F29" s="144"/>
    </row>
    <row r="30" spans="1:6" ht="12.75">
      <c r="A30" s="8" t="s">
        <v>181</v>
      </c>
      <c r="B30" s="143"/>
      <c r="C30" s="143"/>
      <c r="D30" s="103"/>
      <c r="E30" s="143"/>
      <c r="F30" s="144"/>
    </row>
    <row r="31" spans="1:8" ht="12.75">
      <c r="A31" s="1" t="s">
        <v>47</v>
      </c>
      <c r="B31" s="143">
        <v>81461.22</v>
      </c>
      <c r="C31" s="143">
        <v>93081.95</v>
      </c>
      <c r="D31" s="143">
        <v>91216.47</v>
      </c>
      <c r="E31" s="143">
        <f aca="true" t="shared" si="2" ref="E31:E46">SUM(B31:D31)</f>
        <v>265759.64</v>
      </c>
      <c r="F31" s="144">
        <f aca="true" t="shared" si="3" ref="F31:F46">E31/$E$49*100</f>
        <v>0.8827573213931501</v>
      </c>
      <c r="H31" s="103"/>
    </row>
    <row r="32" spans="1:8" ht="12.75">
      <c r="A32" s="1" t="s">
        <v>283</v>
      </c>
      <c r="B32" s="143">
        <v>3.35</v>
      </c>
      <c r="C32" s="143">
        <v>6.06</v>
      </c>
      <c r="D32" s="143"/>
      <c r="E32" s="143">
        <f t="shared" si="2"/>
        <v>9.41</v>
      </c>
      <c r="F32" s="144">
        <f t="shared" si="3"/>
        <v>3.125661366153846E-05</v>
      </c>
      <c r="H32" s="103"/>
    </row>
    <row r="33" spans="1:8" ht="12.75">
      <c r="A33" s="1" t="s">
        <v>240</v>
      </c>
      <c r="B33" s="143">
        <v>6047.2</v>
      </c>
      <c r="C33" s="143">
        <v>6196.48</v>
      </c>
      <c r="D33" s="143">
        <v>6213.88</v>
      </c>
      <c r="E33" s="143">
        <f t="shared" si="2"/>
        <v>18457.56</v>
      </c>
      <c r="F33" s="144">
        <f t="shared" si="3"/>
        <v>0.06130933284321635</v>
      </c>
      <c r="H33" s="103"/>
    </row>
    <row r="34" spans="1:8" ht="12.75">
      <c r="A34" s="1" t="s">
        <v>288</v>
      </c>
      <c r="B34" s="143">
        <v>10373.97</v>
      </c>
      <c r="C34" s="143">
        <v>10749.28</v>
      </c>
      <c r="D34" s="143">
        <v>10782.56</v>
      </c>
      <c r="E34" s="143">
        <f t="shared" si="2"/>
        <v>31905.809999999998</v>
      </c>
      <c r="F34" s="144">
        <f t="shared" si="3"/>
        <v>0.10597955119324656</v>
      </c>
      <c r="H34" s="103"/>
    </row>
    <row r="35" spans="1:8" ht="12.75">
      <c r="A35" s="1" t="s">
        <v>330</v>
      </c>
      <c r="B35" s="143">
        <v>4679.3</v>
      </c>
      <c r="C35" s="140">
        <v>4845.87</v>
      </c>
      <c r="D35" s="143">
        <v>4858.53</v>
      </c>
      <c r="E35" s="143">
        <f t="shared" si="2"/>
        <v>14383.7</v>
      </c>
      <c r="F35" s="144">
        <f t="shared" si="3"/>
        <v>0.047777444625236</v>
      </c>
      <c r="H35" s="103"/>
    </row>
    <row r="36" spans="1:8" ht="12.75">
      <c r="A36" s="1" t="s">
        <v>347</v>
      </c>
      <c r="B36" s="143">
        <v>20504.26</v>
      </c>
      <c r="C36" s="140">
        <v>18213.67</v>
      </c>
      <c r="D36" s="143">
        <v>17782.45</v>
      </c>
      <c r="E36" s="143">
        <f t="shared" si="2"/>
        <v>56500.37999999999</v>
      </c>
      <c r="F36" s="144">
        <f t="shared" si="3"/>
        <v>0.1876738097120206</v>
      </c>
      <c r="H36" s="103"/>
    </row>
    <row r="37" spans="1:8" ht="12.75">
      <c r="A37" s="1" t="s">
        <v>488</v>
      </c>
      <c r="B37" s="143">
        <v>87493.21</v>
      </c>
      <c r="C37" s="140">
        <v>82362.71</v>
      </c>
      <c r="D37" s="143">
        <v>79406.66</v>
      </c>
      <c r="E37" s="143">
        <f t="shared" si="2"/>
        <v>249262.58000000002</v>
      </c>
      <c r="F37" s="144">
        <f t="shared" si="3"/>
        <v>0.8279600598659218</v>
      </c>
      <c r="H37" s="103"/>
    </row>
    <row r="38" spans="1:8" ht="12.75">
      <c r="A38" s="1" t="s">
        <v>489</v>
      </c>
      <c r="B38" s="143">
        <v>15704.44</v>
      </c>
      <c r="C38" s="140">
        <v>15624.9</v>
      </c>
      <c r="D38" s="143">
        <v>15673.55</v>
      </c>
      <c r="E38" s="143">
        <f t="shared" si="2"/>
        <v>47002.89</v>
      </c>
      <c r="F38" s="144">
        <f t="shared" si="3"/>
        <v>0.1561265859411041</v>
      </c>
      <c r="H38" s="103"/>
    </row>
    <row r="39" spans="1:8" ht="12.75">
      <c r="A39" s="1" t="s">
        <v>490</v>
      </c>
      <c r="B39" s="143"/>
      <c r="C39" s="140">
        <v>53842.81</v>
      </c>
      <c r="D39" s="143">
        <v>127628.8</v>
      </c>
      <c r="E39" s="143">
        <f>SUM(B39:D39)</f>
        <v>181471.61</v>
      </c>
      <c r="F39" s="144">
        <f t="shared" si="3"/>
        <v>0.602782997269647</v>
      </c>
      <c r="H39" s="103"/>
    </row>
    <row r="40" spans="1:8" ht="12.75">
      <c r="A40" s="1" t="s">
        <v>489</v>
      </c>
      <c r="B40" s="143"/>
      <c r="C40" s="140">
        <v>10461.68</v>
      </c>
      <c r="D40" s="143">
        <v>24987.97</v>
      </c>
      <c r="E40" s="143">
        <f>SUM(B40:D40)</f>
        <v>35449.65</v>
      </c>
      <c r="F40" s="144">
        <f t="shared" si="3"/>
        <v>0.11775090483387426</v>
      </c>
      <c r="H40" s="103"/>
    </row>
    <row r="41" spans="1:8" ht="12.75">
      <c r="A41" s="1" t="s">
        <v>368</v>
      </c>
      <c r="B41" s="143">
        <v>10068.88</v>
      </c>
      <c r="C41" s="140">
        <v>602.23</v>
      </c>
      <c r="D41" s="143"/>
      <c r="E41" s="143">
        <f t="shared" si="2"/>
        <v>10671.109999999999</v>
      </c>
      <c r="F41" s="144">
        <f t="shared" si="3"/>
        <v>0.03544556457064608</v>
      </c>
      <c r="H41" s="103"/>
    </row>
    <row r="42" spans="1:8" ht="12.75">
      <c r="A42" s="1" t="s">
        <v>436</v>
      </c>
      <c r="B42" s="143">
        <f>2486.86+2564.06</f>
        <v>5050.92</v>
      </c>
      <c r="C42" s="140">
        <v>3522.34</v>
      </c>
      <c r="D42" s="143">
        <v>5753.37</v>
      </c>
      <c r="E42" s="143">
        <f t="shared" si="2"/>
        <v>14326.630000000001</v>
      </c>
      <c r="F42" s="144">
        <f t="shared" si="3"/>
        <v>0.047587878744081484</v>
      </c>
      <c r="H42" s="103"/>
    </row>
    <row r="43" spans="1:8" ht="12.75">
      <c r="A43" s="1" t="s">
        <v>342</v>
      </c>
      <c r="B43" s="143">
        <v>14092.05</v>
      </c>
      <c r="C43" s="140">
        <v>17705.84</v>
      </c>
      <c r="D43" s="143">
        <v>14172.27</v>
      </c>
      <c r="E43" s="143">
        <f t="shared" si="2"/>
        <v>45970.16</v>
      </c>
      <c r="F43" s="144">
        <f t="shared" si="3"/>
        <v>0.1526962307204154</v>
      </c>
      <c r="H43" s="103"/>
    </row>
    <row r="44" spans="1:8" ht="12.75">
      <c r="A44" s="1" t="s">
        <v>356</v>
      </c>
      <c r="B44" s="143">
        <v>265730.98</v>
      </c>
      <c r="C44" s="140">
        <v>177694.73</v>
      </c>
      <c r="D44" s="143">
        <v>48739.41</v>
      </c>
      <c r="E44" s="143">
        <f t="shared" si="2"/>
        <v>492165.12</v>
      </c>
      <c r="F44" s="144">
        <f t="shared" si="3"/>
        <v>1.634794369131213</v>
      </c>
      <c r="H44" s="103"/>
    </row>
    <row r="45" spans="1:8" ht="12.75">
      <c r="A45" s="1" t="s">
        <v>364</v>
      </c>
      <c r="B45" s="143">
        <v>10532.21</v>
      </c>
      <c r="C45" s="140">
        <v>10857.17</v>
      </c>
      <c r="D45" s="143">
        <v>10850.65</v>
      </c>
      <c r="E45" s="143">
        <f t="shared" si="2"/>
        <v>32240.03</v>
      </c>
      <c r="F45" s="144">
        <f t="shared" si="3"/>
        <v>0.10708970904850262</v>
      </c>
      <c r="H45" s="103"/>
    </row>
    <row r="46" spans="1:8" ht="12.75">
      <c r="A46" s="1" t="s">
        <v>48</v>
      </c>
      <c r="B46" s="143">
        <f>5.28+38830.88+5650.17</f>
        <v>44486.329999999994</v>
      </c>
      <c r="C46" s="143">
        <f>5.06+21452.02+150.86+7530.53+10228.29+5655.09</f>
        <v>45021.850000000006</v>
      </c>
      <c r="D46" s="143">
        <f>4.95+13.05+5297.27</f>
        <v>5315.27</v>
      </c>
      <c r="E46" s="143">
        <f t="shared" si="2"/>
        <v>94823.45</v>
      </c>
      <c r="F46" s="144">
        <f t="shared" si="3"/>
        <v>0.31496917563275334</v>
      </c>
      <c r="H46" s="103"/>
    </row>
    <row r="47" spans="1:8" ht="12.75">
      <c r="A47" s="8" t="s">
        <v>226</v>
      </c>
      <c r="B47" s="141">
        <f>SUM(B31:B46)</f>
        <v>576228.32</v>
      </c>
      <c r="C47" s="141">
        <f>SUM(C31:C46)</f>
        <v>550789.5700000001</v>
      </c>
      <c r="D47" s="141">
        <f>SUM(D31:D46)</f>
        <v>463381.8400000001</v>
      </c>
      <c r="E47" s="141">
        <f>SUM(E31:E46)</f>
        <v>1590399.73</v>
      </c>
      <c r="F47" s="142">
        <f>SUM(F31:F46)</f>
        <v>5.28273219213869</v>
      </c>
      <c r="H47" s="23"/>
    </row>
    <row r="48" spans="2:6" ht="9" customHeight="1">
      <c r="B48" s="143"/>
      <c r="C48" s="143"/>
      <c r="D48" s="143"/>
      <c r="E48" s="143"/>
      <c r="F48" s="145"/>
    </row>
    <row r="49" spans="1:6" ht="13.5" thickBot="1">
      <c r="A49" s="4" t="s">
        <v>49</v>
      </c>
      <c r="B49" s="146">
        <f>B28+B47</f>
        <v>10535641.52</v>
      </c>
      <c r="C49" s="146">
        <f>C28+C47</f>
        <v>8769885.07</v>
      </c>
      <c r="D49" s="146">
        <f>D28+D47</f>
        <v>10800101.94</v>
      </c>
      <c r="E49" s="146">
        <f>E28+E47</f>
        <v>30105628.53</v>
      </c>
      <c r="F49" s="147">
        <f>F28+F47</f>
        <v>100</v>
      </c>
    </row>
    <row r="50" spans="1:6" ht="13.5" thickTop="1">
      <c r="A50" s="4"/>
      <c r="B50" s="148"/>
      <c r="C50" s="148"/>
      <c r="D50" s="148"/>
      <c r="E50" s="148"/>
      <c r="F50" s="149"/>
    </row>
    <row r="51" spans="1:6" ht="12.75">
      <c r="A51" s="4"/>
      <c r="B51" s="148"/>
      <c r="C51" s="148"/>
      <c r="D51" s="148"/>
      <c r="E51" s="148"/>
      <c r="F51" s="149"/>
    </row>
    <row r="52" spans="1:6" ht="12.75">
      <c r="A52" s="4"/>
      <c r="B52" s="148"/>
      <c r="C52" s="148"/>
      <c r="D52" s="148"/>
      <c r="E52" s="148"/>
      <c r="F52" s="149"/>
    </row>
    <row r="53" spans="1:6" ht="12.75">
      <c r="A53" s="8" t="s">
        <v>52</v>
      </c>
      <c r="B53" s="27"/>
      <c r="C53" s="27"/>
      <c r="D53" s="27"/>
      <c r="E53" s="27"/>
      <c r="F53" s="16"/>
    </row>
    <row r="54" ht="12.75">
      <c r="A54" s="12" t="s">
        <v>169</v>
      </c>
    </row>
    <row r="55" spans="2:7" ht="12.75">
      <c r="B55" s="28"/>
      <c r="C55" s="28"/>
      <c r="D55" s="28"/>
      <c r="E55" s="28"/>
      <c r="F55" s="22"/>
      <c r="G55" s="22"/>
    </row>
    <row r="57" spans="1:6" ht="12.75">
      <c r="A57" s="4"/>
      <c r="B57" s="27"/>
      <c r="C57" s="27"/>
      <c r="D57" s="27"/>
      <c r="E57" s="27"/>
      <c r="F57" s="16"/>
    </row>
    <row r="58" spans="1:6" ht="12.75">
      <c r="A58" s="4"/>
      <c r="B58" s="27"/>
      <c r="C58" s="27"/>
      <c r="D58" s="27"/>
      <c r="E58" s="27"/>
      <c r="F58" s="16"/>
    </row>
    <row r="59" spans="1:6" ht="12.75">
      <c r="A59" s="4"/>
      <c r="B59" s="27"/>
      <c r="C59" s="27"/>
      <c r="D59" s="27"/>
      <c r="E59" s="27"/>
      <c r="F59" s="16"/>
    </row>
    <row r="60" spans="1:6" ht="12.75">
      <c r="A60" s="4"/>
      <c r="B60" s="27"/>
      <c r="C60" s="27"/>
      <c r="D60" s="27"/>
      <c r="E60" s="27"/>
      <c r="F60" s="16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J7" sqref="J7"/>
    </sheetView>
  </sheetViews>
  <sheetFormatPr defaultColWidth="11.421875" defaultRowHeight="12.75"/>
  <cols>
    <col min="1" max="1" width="33.8515625" style="1" customWidth="1"/>
    <col min="2" max="5" width="11.7109375" style="23" customWidth="1"/>
    <col min="6" max="6" width="6.57421875" style="1" customWidth="1"/>
    <col min="7" max="16384" width="11.421875" style="1" customWidth="1"/>
  </cols>
  <sheetData>
    <row r="1" spans="1:6" ht="12.75" customHeight="1">
      <c r="A1" s="248"/>
      <c r="B1" s="249"/>
      <c r="C1" s="249"/>
      <c r="D1" s="249"/>
      <c r="E1" s="287" t="s">
        <v>7</v>
      </c>
      <c r="F1" s="287"/>
    </row>
    <row r="2" spans="1:6" ht="12.75" customHeight="1">
      <c r="A2" s="286" t="s">
        <v>309</v>
      </c>
      <c r="B2" s="286"/>
      <c r="C2" s="286"/>
      <c r="D2" s="286"/>
      <c r="E2" s="286"/>
      <c r="F2" s="286"/>
    </row>
    <row r="3" spans="1:6" ht="12.75" customHeight="1">
      <c r="A3" s="286" t="s">
        <v>524</v>
      </c>
      <c r="B3" s="286"/>
      <c r="C3" s="286"/>
      <c r="D3" s="286"/>
      <c r="E3" s="286"/>
      <c r="F3" s="286"/>
    </row>
    <row r="4" spans="1:6" ht="12.75" customHeight="1">
      <c r="A4" s="286" t="s">
        <v>313</v>
      </c>
      <c r="B4" s="286"/>
      <c r="C4" s="286"/>
      <c r="D4" s="286"/>
      <c r="E4" s="286"/>
      <c r="F4" s="286"/>
    </row>
    <row r="5" spans="1:7" ht="12.75" customHeight="1">
      <c r="A5" s="286" t="s">
        <v>452</v>
      </c>
      <c r="B5" s="286"/>
      <c r="C5" s="286"/>
      <c r="D5" s="286"/>
      <c r="E5" s="286"/>
      <c r="F5" s="286"/>
      <c r="G5" s="217"/>
    </row>
    <row r="6" spans="1:6" ht="18.75" customHeight="1">
      <c r="A6" s="93"/>
      <c r="B6" s="93"/>
      <c r="C6" s="93"/>
      <c r="D6" s="93"/>
      <c r="E6" s="93"/>
      <c r="F6" s="93"/>
    </row>
    <row r="7" spans="1:6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spans="1:6" ht="9" customHeight="1">
      <c r="A8" s="2"/>
      <c r="B8" s="24"/>
      <c r="C8" s="24"/>
      <c r="D8" s="24"/>
      <c r="E8" s="24"/>
      <c r="F8" s="2"/>
    </row>
    <row r="9" spans="1:6" ht="15" customHeight="1">
      <c r="A9" s="56" t="s">
        <v>301</v>
      </c>
      <c r="B9" s="135">
        <v>11422</v>
      </c>
      <c r="C9" s="150"/>
      <c r="D9" s="135"/>
      <c r="E9" s="130">
        <f>SUM(B9:D9)</f>
        <v>11422</v>
      </c>
      <c r="F9" s="136">
        <f>(E9/$E$14*100)</f>
        <v>0.22224432255844398</v>
      </c>
    </row>
    <row r="10" spans="1:6" ht="15" customHeight="1">
      <c r="A10" s="6" t="s">
        <v>50</v>
      </c>
      <c r="B10" s="130">
        <v>2138184.25</v>
      </c>
      <c r="C10" s="130">
        <f>1277142.5</f>
        <v>1277142.5</v>
      </c>
      <c r="D10" s="130">
        <v>1655844.13</v>
      </c>
      <c r="E10" s="130">
        <f>SUM(B10:D10)</f>
        <v>5071170.88</v>
      </c>
      <c r="F10" s="136">
        <f>(E10/$E$14*100)</f>
        <v>98.67264374047522</v>
      </c>
    </row>
    <row r="11" spans="1:6" ht="15" customHeight="1">
      <c r="A11" s="6" t="s">
        <v>435</v>
      </c>
      <c r="B11" s="130">
        <v>3635</v>
      </c>
      <c r="C11" s="130">
        <f>300+78</f>
        <v>378</v>
      </c>
      <c r="D11" s="130">
        <f>1500+4650</f>
        <v>6150</v>
      </c>
      <c r="E11" s="130">
        <f>SUM(B11:D11)</f>
        <v>10163</v>
      </c>
      <c r="F11" s="136">
        <f>(E11/$E$14*100)</f>
        <v>0.1977472465558979</v>
      </c>
    </row>
    <row r="12" spans="1:6" ht="15" customHeight="1">
      <c r="A12" s="1" t="s">
        <v>51</v>
      </c>
      <c r="B12" s="130">
        <f>5439+444</f>
        <v>5883</v>
      </c>
      <c r="C12" s="130">
        <f>1887+370</f>
        <v>2257</v>
      </c>
      <c r="D12" s="130">
        <f>37938+555</f>
        <v>38493</v>
      </c>
      <c r="E12" s="130">
        <f>SUM(B12:D12)</f>
        <v>46633</v>
      </c>
      <c r="F12" s="136">
        <f>(E12/$E$14*100)</f>
        <v>0.9073646904104288</v>
      </c>
    </row>
    <row r="13" spans="2:6" ht="9" customHeight="1">
      <c r="B13" s="129"/>
      <c r="C13" s="129"/>
      <c r="D13" s="130"/>
      <c r="E13" s="130"/>
      <c r="F13" s="136"/>
    </row>
    <row r="14" spans="1:6" ht="12.75" customHeight="1" thickBot="1">
      <c r="A14" s="4" t="s">
        <v>177</v>
      </c>
      <c r="B14" s="151">
        <f>SUM(B9:B12)</f>
        <v>2159124.25</v>
      </c>
      <c r="C14" s="151">
        <f>SUM(C9:C12)</f>
        <v>1279777.5</v>
      </c>
      <c r="D14" s="151">
        <f>SUM(D9:D12)</f>
        <v>1700487.13</v>
      </c>
      <c r="E14" s="151">
        <f>SUM(E9:E12)</f>
        <v>5139388.88</v>
      </c>
      <c r="F14" s="151">
        <f>SUM(F9:F12)</f>
        <v>99.99999999999999</v>
      </c>
    </row>
    <row r="15" spans="2:6" ht="13.5" thickTop="1">
      <c r="B15" s="103"/>
      <c r="C15" s="103"/>
      <c r="D15" s="103"/>
      <c r="E15" s="103"/>
      <c r="F15" s="103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7874015748031497" bottom="0.984251968503937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L12" sqref="L12"/>
    </sheetView>
  </sheetViews>
  <sheetFormatPr defaultColWidth="11.421875" defaultRowHeight="12.75"/>
  <cols>
    <col min="1" max="1" width="35.421875" style="17" customWidth="1"/>
    <col min="2" max="5" width="11.28125" style="30" customWidth="1"/>
    <col min="6" max="6" width="6.57421875" style="17" customWidth="1"/>
    <col min="7" max="7" width="2.7109375" style="17" customWidth="1"/>
    <col min="8" max="16384" width="11.421875" style="17" customWidth="1"/>
  </cols>
  <sheetData>
    <row r="1" spans="1:7" ht="12.75">
      <c r="A1" s="248"/>
      <c r="B1" s="249"/>
      <c r="C1" s="249"/>
      <c r="D1" s="249"/>
      <c r="E1" s="287" t="s">
        <v>8</v>
      </c>
      <c r="F1" s="287"/>
      <c r="G1" s="1"/>
    </row>
    <row r="2" spans="1:7" ht="12.75">
      <c r="A2" s="286" t="s">
        <v>309</v>
      </c>
      <c r="B2" s="286"/>
      <c r="C2" s="286"/>
      <c r="D2" s="286"/>
      <c r="E2" s="286"/>
      <c r="F2" s="286"/>
      <c r="G2" s="1"/>
    </row>
    <row r="3" spans="1:7" ht="12.75">
      <c r="A3" s="286" t="s">
        <v>524</v>
      </c>
      <c r="B3" s="286"/>
      <c r="C3" s="286"/>
      <c r="D3" s="286"/>
      <c r="E3" s="286"/>
      <c r="F3" s="286"/>
      <c r="G3" s="1"/>
    </row>
    <row r="4" spans="1:7" ht="12.75">
      <c r="A4" s="286" t="s">
        <v>314</v>
      </c>
      <c r="B4" s="286"/>
      <c r="C4" s="286"/>
      <c r="D4" s="286"/>
      <c r="E4" s="286"/>
      <c r="F4" s="286"/>
      <c r="G4" s="1"/>
    </row>
    <row r="5" spans="1:7" ht="12.75" customHeight="1">
      <c r="A5" s="286" t="s">
        <v>452</v>
      </c>
      <c r="B5" s="286"/>
      <c r="C5" s="286"/>
      <c r="D5" s="286"/>
      <c r="E5" s="286"/>
      <c r="F5" s="286"/>
      <c r="G5" s="217"/>
    </row>
    <row r="6" spans="1:7" ht="18.75" customHeight="1">
      <c r="A6" s="75"/>
      <c r="B6" s="75"/>
      <c r="C6" s="75"/>
      <c r="D6" s="75"/>
      <c r="E6" s="75"/>
      <c r="F6" s="2"/>
      <c r="G6" s="1"/>
    </row>
    <row r="7" spans="1:7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  <c r="G7" s="1"/>
    </row>
    <row r="8" spans="1:7" ht="9" customHeight="1">
      <c r="A8" s="2"/>
      <c r="B8" s="24"/>
      <c r="C8" s="24"/>
      <c r="D8" s="24"/>
      <c r="E8" s="24"/>
      <c r="F8" s="2"/>
      <c r="G8" s="1"/>
    </row>
    <row r="9" spans="1:7" ht="15" customHeight="1">
      <c r="A9" s="1" t="s">
        <v>346</v>
      </c>
      <c r="B9" s="135">
        <v>533876.67</v>
      </c>
      <c r="C9" s="130"/>
      <c r="D9" s="135">
        <v>1076674</v>
      </c>
      <c r="E9" s="130">
        <f>SUM(B9:D9)</f>
        <v>1610550.67</v>
      </c>
      <c r="F9" s="136">
        <f>(E9/$E$15*100)</f>
        <v>19.974521745681216</v>
      </c>
      <c r="G9" s="10"/>
    </row>
    <row r="10" spans="1:6" ht="15" customHeight="1">
      <c r="A10" s="1" t="s">
        <v>53</v>
      </c>
      <c r="B10" s="135">
        <v>737167.19</v>
      </c>
      <c r="C10" s="135">
        <f>34750+621428.33+10639</f>
        <v>666817.33</v>
      </c>
      <c r="D10" s="135">
        <f>-17000+694478.22-72950</f>
        <v>604528.22</v>
      </c>
      <c r="E10" s="130">
        <f>SUM(B10:D10)</f>
        <v>2008512.74</v>
      </c>
      <c r="F10" s="136">
        <f>(E10/$E$15*100)</f>
        <v>24.91016405066459</v>
      </c>
    </row>
    <row r="11" spans="1:7" ht="15" customHeight="1">
      <c r="A11" s="1" t="s">
        <v>54</v>
      </c>
      <c r="B11" s="135">
        <f>243448+67500</f>
        <v>310948</v>
      </c>
      <c r="C11" s="135">
        <f>25187+853799.44+72950</f>
        <v>951936.44</v>
      </c>
      <c r="D11" s="135">
        <f>581900+72950</f>
        <v>654850</v>
      </c>
      <c r="E11" s="130">
        <f>SUM(B11:D11)</f>
        <v>1917734.44</v>
      </c>
      <c r="F11" s="136">
        <f>(E11/$E$15*100)</f>
        <v>23.78430495094066</v>
      </c>
      <c r="G11" s="10" t="s">
        <v>23</v>
      </c>
    </row>
    <row r="12" spans="1:7" ht="15" customHeight="1">
      <c r="A12" s="1" t="s">
        <v>553</v>
      </c>
      <c r="B12" s="135">
        <v>5538.22</v>
      </c>
      <c r="C12" s="135"/>
      <c r="D12" s="135"/>
      <c r="E12" s="130">
        <f>SUM(B12:D12)</f>
        <v>5538.22</v>
      </c>
      <c r="F12" s="136">
        <f>(E12/$E$15*100)</f>
        <v>0.06868662866866937</v>
      </c>
      <c r="G12" s="10"/>
    </row>
    <row r="13" spans="1:6" ht="15" customHeight="1">
      <c r="A13" s="7" t="s">
        <v>55</v>
      </c>
      <c r="B13" s="135">
        <v>179426.26</v>
      </c>
      <c r="C13" s="135">
        <f>2341262.61</f>
        <v>2341262.61</v>
      </c>
      <c r="D13" s="135"/>
      <c r="E13" s="130">
        <f>SUM(B13:D13)</f>
        <v>2520688.87</v>
      </c>
      <c r="F13" s="136">
        <f>(E13/$E$15*100)</f>
        <v>31.26232262404487</v>
      </c>
    </row>
    <row r="14" spans="1:7" ht="9" customHeight="1">
      <c r="A14" s="1"/>
      <c r="B14" s="129"/>
      <c r="C14" s="129"/>
      <c r="D14" s="139"/>
      <c r="E14" s="129"/>
      <c r="F14" s="131"/>
      <c r="G14" s="1"/>
    </row>
    <row r="15" spans="1:7" ht="13.5" thickBot="1">
      <c r="A15" s="4" t="s">
        <v>177</v>
      </c>
      <c r="B15" s="151">
        <f>SUM(B9:B13)</f>
        <v>1766956.3399999999</v>
      </c>
      <c r="C15" s="151">
        <f>SUM(C9:C13)</f>
        <v>3960016.38</v>
      </c>
      <c r="D15" s="151">
        <f>SUM(D9:D13)</f>
        <v>2336052.2199999997</v>
      </c>
      <c r="E15" s="151">
        <f>SUM(E9:E13)</f>
        <v>8063024.9399999995</v>
      </c>
      <c r="F15" s="152">
        <f>SUM(F9:F13)</f>
        <v>100.00000000000001</v>
      </c>
      <c r="G15" s="1"/>
    </row>
    <row r="16" spans="1:7" ht="13.5" thickTop="1">
      <c r="A16" s="1"/>
      <c r="B16" s="23"/>
      <c r="C16" s="23"/>
      <c r="D16" s="23"/>
      <c r="E16" s="23"/>
      <c r="F16" s="1"/>
      <c r="G16" s="1"/>
    </row>
    <row r="17" spans="1:7" ht="12.75">
      <c r="A17" s="1"/>
      <c r="B17" s="23"/>
      <c r="C17" s="23"/>
      <c r="D17" s="23"/>
      <c r="E17" s="23"/>
      <c r="F17" s="1"/>
      <c r="G17" s="1"/>
    </row>
    <row r="18" spans="1:7" ht="12.75">
      <c r="A18" s="1"/>
      <c r="B18" s="23"/>
      <c r="C18" s="23"/>
      <c r="E18" s="23"/>
      <c r="F18" s="1"/>
      <c r="G18" s="1"/>
    </row>
    <row r="23" spans="1:7" ht="12.75">
      <c r="A23" s="8" t="s">
        <v>56</v>
      </c>
      <c r="B23" s="23"/>
      <c r="C23" s="23"/>
      <c r="D23" s="23"/>
      <c r="E23" s="23"/>
      <c r="F23" s="1"/>
      <c r="G23" s="1"/>
    </row>
    <row r="24" spans="1:7" ht="9" customHeight="1">
      <c r="A24" s="1"/>
      <c r="B24" s="23"/>
      <c r="C24" s="23"/>
      <c r="D24" s="23"/>
      <c r="E24" s="23"/>
      <c r="F24" s="1"/>
      <c r="G24" s="1"/>
    </row>
    <row r="25" spans="1:7" ht="12.75">
      <c r="A25" s="21" t="s">
        <v>335</v>
      </c>
      <c r="B25" s="82"/>
      <c r="C25" s="82"/>
      <c r="D25" s="82"/>
      <c r="E25" s="82"/>
      <c r="G25" s="82"/>
    </row>
    <row r="26" spans="1:7" ht="12.75">
      <c r="A26" s="82"/>
      <c r="B26" s="82"/>
      <c r="C26" s="82"/>
      <c r="D26" s="82"/>
      <c r="E26" s="82"/>
      <c r="F26" s="157"/>
      <c r="G26" s="82"/>
    </row>
    <row r="27" spans="1:7" ht="12.75">
      <c r="A27" s="82"/>
      <c r="B27" s="153"/>
      <c r="C27" s="153"/>
      <c r="D27" s="153"/>
      <c r="E27" s="153"/>
      <c r="F27" s="158"/>
      <c r="G27" s="85"/>
    </row>
    <row r="28" spans="1:7" ht="12.75">
      <c r="A28" s="82"/>
      <c r="B28" s="153"/>
      <c r="C28" s="153"/>
      <c r="D28" s="153"/>
      <c r="E28" s="153"/>
      <c r="F28" s="158"/>
      <c r="G28" s="85"/>
    </row>
    <row r="29" spans="1:7" ht="12.75">
      <c r="A29" s="82"/>
      <c r="B29" s="154"/>
      <c r="C29" s="154"/>
      <c r="D29" s="154"/>
      <c r="E29" s="154"/>
      <c r="F29" s="158"/>
      <c r="G29" s="155"/>
    </row>
    <row r="30" spans="1:7" ht="12.75">
      <c r="A30" s="82"/>
      <c r="B30" s="82"/>
      <c r="C30" s="82"/>
      <c r="D30" s="82"/>
      <c r="E30" s="82"/>
      <c r="F30" s="158"/>
      <c r="G30" s="82"/>
    </row>
    <row r="31" spans="2:7" ht="12.75">
      <c r="B31" s="82"/>
      <c r="C31" s="82"/>
      <c r="D31" s="82"/>
      <c r="E31" s="82"/>
      <c r="F31" s="158"/>
      <c r="G31" s="82"/>
    </row>
    <row r="32" spans="1:7" ht="12.75">
      <c r="A32" s="156"/>
      <c r="B32" s="154"/>
      <c r="C32" s="154"/>
      <c r="D32" s="154"/>
      <c r="E32" s="154"/>
      <c r="F32" s="158"/>
      <c r="G32" s="155"/>
    </row>
    <row r="33" spans="1:7" ht="12.75">
      <c r="A33" s="156"/>
      <c r="B33" s="154"/>
      <c r="C33" s="154"/>
      <c r="D33" s="154"/>
      <c r="E33" s="154"/>
      <c r="F33" s="157"/>
      <c r="G33" s="155"/>
    </row>
    <row r="34" spans="2:7" ht="12.75">
      <c r="B34" s="22"/>
      <c r="C34" s="22"/>
      <c r="D34" s="22"/>
      <c r="E34" s="22"/>
      <c r="F34" s="158"/>
      <c r="G34" s="22"/>
    </row>
    <row r="35" spans="2:7" ht="15" customHeight="1">
      <c r="B35" s="154"/>
      <c r="C35" s="154"/>
      <c r="D35" s="154"/>
      <c r="E35" s="154"/>
      <c r="F35" s="155"/>
      <c r="G35" s="155"/>
    </row>
    <row r="36" spans="1:7" ht="12.75">
      <c r="A36" s="21"/>
      <c r="B36" s="22"/>
      <c r="C36" s="22"/>
      <c r="D36" s="22"/>
      <c r="E36" s="22"/>
      <c r="F36" s="22"/>
      <c r="G36" s="22"/>
    </row>
    <row r="37" spans="1:7" ht="12.75">
      <c r="A37" s="155"/>
      <c r="B37" s="154"/>
      <c r="C37" s="154"/>
      <c r="D37" s="154"/>
      <c r="E37" s="154"/>
      <c r="F37" s="155"/>
      <c r="G37" s="155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905511811023623" top="0.7874015748031497" bottom="0.8267716535433072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K46" sqref="K46"/>
    </sheetView>
  </sheetViews>
  <sheetFormatPr defaultColWidth="11.421875" defaultRowHeight="12.75"/>
  <cols>
    <col min="1" max="1" width="45.421875" style="1" customWidth="1"/>
    <col min="2" max="4" width="11.7109375" style="23" customWidth="1"/>
    <col min="5" max="5" width="12.00390625" style="23" customWidth="1"/>
    <col min="6" max="6" width="10.57421875" style="1" customWidth="1"/>
    <col min="7" max="7" width="2.7109375" style="1" customWidth="1"/>
    <col min="8" max="8" width="4.28125" style="1" customWidth="1"/>
    <col min="9" max="16384" width="11.421875" style="1" customWidth="1"/>
  </cols>
  <sheetData>
    <row r="1" spans="1:6" ht="12.75">
      <c r="A1" s="248"/>
      <c r="B1" s="249"/>
      <c r="C1" s="249"/>
      <c r="D1" s="249"/>
      <c r="E1" s="287" t="s">
        <v>130</v>
      </c>
      <c r="F1" s="287"/>
    </row>
    <row r="2" spans="1:6" ht="12.75">
      <c r="A2" s="286" t="s">
        <v>309</v>
      </c>
      <c r="B2" s="286"/>
      <c r="C2" s="286"/>
      <c r="D2" s="286"/>
      <c r="E2" s="286"/>
      <c r="F2" s="286"/>
    </row>
    <row r="3" spans="1:6" ht="12.75">
      <c r="A3" s="286" t="s">
        <v>524</v>
      </c>
      <c r="B3" s="286"/>
      <c r="C3" s="286"/>
      <c r="D3" s="286"/>
      <c r="E3" s="286"/>
      <c r="F3" s="286"/>
    </row>
    <row r="4" spans="1:6" ht="12.75">
      <c r="A4" s="286" t="s">
        <v>315</v>
      </c>
      <c r="B4" s="286"/>
      <c r="C4" s="286"/>
      <c r="D4" s="286"/>
      <c r="E4" s="286"/>
      <c r="F4" s="286"/>
    </row>
    <row r="5" spans="1:7" ht="15">
      <c r="A5" s="286" t="s">
        <v>452</v>
      </c>
      <c r="B5" s="286"/>
      <c r="C5" s="286"/>
      <c r="D5" s="286"/>
      <c r="E5" s="286"/>
      <c r="F5" s="286"/>
      <c r="G5" s="217"/>
    </row>
    <row r="6" spans="1:6" ht="18.75" customHeight="1">
      <c r="A6" s="96"/>
      <c r="B6" s="96"/>
      <c r="C6" s="96"/>
      <c r="D6" s="96"/>
      <c r="E6" s="96"/>
      <c r="F6" s="96"/>
    </row>
    <row r="7" spans="1:6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spans="1:6" ht="9" customHeight="1">
      <c r="A8" s="2"/>
      <c r="B8" s="26"/>
      <c r="C8" s="26"/>
      <c r="D8" s="26"/>
      <c r="E8" s="24"/>
      <c r="F8" s="2"/>
    </row>
    <row r="9" spans="1:8" ht="15" customHeight="1">
      <c r="A9" s="1" t="s">
        <v>510</v>
      </c>
      <c r="B9" s="130"/>
      <c r="C9" s="130"/>
      <c r="D9" s="130">
        <v>581900</v>
      </c>
      <c r="E9" s="130">
        <f aca="true" t="shared" si="0" ref="E9:E17">SUM(B9:D9)</f>
        <v>581900</v>
      </c>
      <c r="F9" s="136">
        <f aca="true" t="shared" si="1" ref="F9:F17">(E9/$E$19*100)</f>
        <v>30.343095887666284</v>
      </c>
      <c r="G9" s="10" t="s">
        <v>23</v>
      </c>
      <c r="H9" s="15"/>
    </row>
    <row r="10" spans="1:8" ht="15" customHeight="1">
      <c r="A10" s="1" t="s">
        <v>509</v>
      </c>
      <c r="B10" s="130">
        <v>72000</v>
      </c>
      <c r="C10" s="130"/>
      <c r="D10" s="130"/>
      <c r="E10" s="130">
        <f t="shared" si="0"/>
        <v>72000</v>
      </c>
      <c r="F10" s="136">
        <f t="shared" si="1"/>
        <v>3.754430149358949</v>
      </c>
      <c r="G10" s="10" t="s">
        <v>24</v>
      </c>
      <c r="H10" s="15"/>
    </row>
    <row r="11" spans="1:8" ht="15" customHeight="1">
      <c r="A11" s="45" t="s">
        <v>442</v>
      </c>
      <c r="B11" s="130"/>
      <c r="C11" s="130">
        <f>66666.67+66666.67</f>
        <v>133333.34</v>
      </c>
      <c r="D11" s="130"/>
      <c r="E11" s="130">
        <f t="shared" si="0"/>
        <v>133333.34</v>
      </c>
      <c r="F11" s="136">
        <f t="shared" si="1"/>
        <v>6.952648772371216</v>
      </c>
      <c r="G11" s="10" t="s">
        <v>27</v>
      </c>
      <c r="H11" s="15"/>
    </row>
    <row r="12" spans="1:8" ht="15" customHeight="1">
      <c r="A12" s="45" t="s">
        <v>574</v>
      </c>
      <c r="B12" s="130"/>
      <c r="C12" s="130"/>
      <c r="D12" s="130"/>
      <c r="E12" s="130"/>
      <c r="F12" s="136"/>
      <c r="G12" s="10"/>
      <c r="H12" s="15"/>
    </row>
    <row r="13" spans="1:8" ht="15" customHeight="1">
      <c r="A13" s="45" t="s">
        <v>554</v>
      </c>
      <c r="B13" s="130">
        <v>60000</v>
      </c>
      <c r="C13" s="130">
        <f>40000+100000</f>
        <v>140000</v>
      </c>
      <c r="D13" s="130"/>
      <c r="E13" s="130">
        <f>SUM(B13:D13)</f>
        <v>200000</v>
      </c>
      <c r="F13" s="136">
        <f t="shared" si="1"/>
        <v>10.428972637108192</v>
      </c>
      <c r="G13" s="10" t="s">
        <v>257</v>
      </c>
      <c r="H13" s="15"/>
    </row>
    <row r="14" spans="1:8" ht="15" customHeight="1">
      <c r="A14" s="45" t="s">
        <v>483</v>
      </c>
      <c r="B14" s="130">
        <v>111448</v>
      </c>
      <c r="C14" s="130"/>
      <c r="D14" s="130"/>
      <c r="E14" s="130">
        <f>SUM(B14:D14)</f>
        <v>111448</v>
      </c>
      <c r="F14" s="136">
        <f t="shared" si="1"/>
        <v>5.8114407123021685</v>
      </c>
      <c r="G14" s="10" t="s">
        <v>258</v>
      </c>
      <c r="H14" s="15"/>
    </row>
    <row r="15" spans="1:8" ht="15" customHeight="1">
      <c r="A15" s="45" t="s">
        <v>440</v>
      </c>
      <c r="B15" s="130"/>
      <c r="C15" s="130">
        <v>25187</v>
      </c>
      <c r="D15" s="130"/>
      <c r="E15" s="130">
        <f t="shared" si="0"/>
        <v>25187</v>
      </c>
      <c r="F15" s="136">
        <f t="shared" si="1"/>
        <v>1.3133726690542202</v>
      </c>
      <c r="G15" s="10" t="s">
        <v>371</v>
      </c>
      <c r="H15" s="15"/>
    </row>
    <row r="16" spans="1:8" ht="15" customHeight="1">
      <c r="A16" s="45" t="s">
        <v>575</v>
      </c>
      <c r="B16" s="130"/>
      <c r="C16" s="130">
        <v>580466.1</v>
      </c>
      <c r="D16" s="130"/>
      <c r="E16" s="130">
        <f t="shared" si="0"/>
        <v>580466.1</v>
      </c>
      <c r="F16" s="136">
        <f t="shared" si="1"/>
        <v>30.268325368344534</v>
      </c>
      <c r="G16" s="10" t="s">
        <v>441</v>
      </c>
      <c r="H16" s="15"/>
    </row>
    <row r="17" spans="1:7" ht="15" customHeight="1">
      <c r="A17" s="45" t="s">
        <v>576</v>
      </c>
      <c r="B17" s="130">
        <v>67500</v>
      </c>
      <c r="C17" s="130">
        <v>72950</v>
      </c>
      <c r="D17" s="135">
        <v>72950</v>
      </c>
      <c r="E17" s="130">
        <f t="shared" si="0"/>
        <v>213400</v>
      </c>
      <c r="F17" s="136">
        <f t="shared" si="1"/>
        <v>11.127713803794439</v>
      </c>
      <c r="G17" s="10" t="s">
        <v>511</v>
      </c>
    </row>
    <row r="18" spans="2:7" ht="9" customHeight="1">
      <c r="B18" s="159"/>
      <c r="C18" s="159"/>
      <c r="D18" s="159"/>
      <c r="E18" s="130"/>
      <c r="F18" s="136"/>
      <c r="G18" s="12"/>
    </row>
    <row r="19" spans="1:7" ht="13.5" thickBot="1">
      <c r="A19" s="4" t="s">
        <v>177</v>
      </c>
      <c r="B19" s="151">
        <f>SUM(B9:B17)</f>
        <v>310948</v>
      </c>
      <c r="C19" s="151">
        <f>SUM(C9:C17)</f>
        <v>951936.44</v>
      </c>
      <c r="D19" s="151">
        <f>SUM(D9:D17)</f>
        <v>654850</v>
      </c>
      <c r="E19" s="151">
        <f>SUM(E9:E17)</f>
        <v>1917734.44</v>
      </c>
      <c r="F19" s="151">
        <f>SUM(F9:F17)</f>
        <v>100</v>
      </c>
      <c r="G19" s="9"/>
    </row>
    <row r="20" spans="2:7" ht="13.5" thickTop="1">
      <c r="B20" s="57"/>
      <c r="C20" s="57"/>
      <c r="D20" s="57"/>
      <c r="E20" s="57"/>
      <c r="F20" s="57"/>
      <c r="G20" s="9"/>
    </row>
    <row r="21" spans="1:6" ht="12.75">
      <c r="A21" s="2"/>
      <c r="B21" s="57"/>
      <c r="C21" s="57"/>
      <c r="D21" s="57"/>
      <c r="E21" s="57"/>
      <c r="F21" s="57"/>
    </row>
    <row r="22" spans="1:7" ht="12.75">
      <c r="A22" s="2"/>
      <c r="B22" s="57"/>
      <c r="C22" s="57"/>
      <c r="D22" s="57"/>
      <c r="E22" s="57"/>
      <c r="F22" s="57"/>
      <c r="G22" s="9"/>
    </row>
    <row r="23" spans="1:7" ht="12.75">
      <c r="A23" s="2"/>
      <c r="B23" s="57"/>
      <c r="C23" s="57"/>
      <c r="D23" s="57"/>
      <c r="E23" s="57"/>
      <c r="F23" s="57"/>
      <c r="G23" s="9"/>
    </row>
    <row r="24" spans="1:6" ht="12.75">
      <c r="A24" s="17"/>
      <c r="B24" s="57"/>
      <c r="C24" s="57"/>
      <c r="D24" s="57"/>
      <c r="E24" s="57"/>
      <c r="F24" s="16"/>
    </row>
    <row r="25" spans="1:6" ht="12.75">
      <c r="A25" s="66"/>
      <c r="B25" s="57"/>
      <c r="C25" s="57"/>
      <c r="D25" s="57"/>
      <c r="E25" s="57"/>
      <c r="F25" s="16"/>
    </row>
    <row r="26" spans="1:6" ht="12.75">
      <c r="A26" s="12" t="s">
        <v>29</v>
      </c>
      <c r="B26" s="57"/>
      <c r="C26" s="57"/>
      <c r="D26" s="57"/>
      <c r="E26" s="57"/>
      <c r="F26" s="16"/>
    </row>
    <row r="27" spans="1:6" ht="12.75">
      <c r="A27" s="12"/>
      <c r="B27" s="57"/>
      <c r="C27" s="57"/>
      <c r="D27" s="57"/>
      <c r="E27" s="57"/>
      <c r="F27" s="16"/>
    </row>
    <row r="28" spans="1:6" ht="12.75">
      <c r="A28" s="12" t="s">
        <v>577</v>
      </c>
      <c r="B28" s="57"/>
      <c r="C28" s="57"/>
      <c r="D28" s="57"/>
      <c r="E28" s="57"/>
      <c r="F28" s="16"/>
    </row>
    <row r="29" spans="1:11" ht="12.75">
      <c r="A29" s="58" t="s">
        <v>578</v>
      </c>
      <c r="B29" s="1"/>
      <c r="C29" s="57"/>
      <c r="D29" s="57"/>
      <c r="E29" s="57"/>
      <c r="F29" s="263">
        <v>581900</v>
      </c>
      <c r="K29" s="263"/>
    </row>
    <row r="30" spans="1:6" ht="12.75">
      <c r="A30" s="12" t="s">
        <v>579</v>
      </c>
      <c r="B30" s="57"/>
      <c r="C30" s="57"/>
      <c r="D30" s="57"/>
      <c r="E30" s="57"/>
      <c r="F30" s="16"/>
    </row>
    <row r="31" spans="1:11" ht="12.75">
      <c r="A31" s="58" t="s">
        <v>580</v>
      </c>
      <c r="B31" s="57"/>
      <c r="C31" s="57"/>
      <c r="D31" s="57"/>
      <c r="E31" s="57"/>
      <c r="F31" s="263">
        <v>72000</v>
      </c>
      <c r="K31" s="263"/>
    </row>
    <row r="32" spans="1:6" ht="6" customHeight="1">
      <c r="A32" s="12"/>
      <c r="B32" s="57"/>
      <c r="C32" s="57"/>
      <c r="D32" s="57"/>
      <c r="E32" s="57"/>
      <c r="F32" s="16"/>
    </row>
    <row r="33" spans="1:6" ht="12.75">
      <c r="A33" s="12" t="s">
        <v>581</v>
      </c>
      <c r="B33" s="57"/>
      <c r="C33" s="57"/>
      <c r="D33" s="57"/>
      <c r="E33" s="57"/>
      <c r="F33" s="158"/>
    </row>
    <row r="34" spans="1:11" ht="12.75">
      <c r="A34" s="38" t="s">
        <v>438</v>
      </c>
      <c r="B34" s="57"/>
      <c r="C34" s="57"/>
      <c r="D34" s="57"/>
      <c r="E34" s="57"/>
      <c r="F34" s="263">
        <f>66666.67+66666.67</f>
        <v>133333.34</v>
      </c>
      <c r="K34" s="263"/>
    </row>
    <row r="35" spans="2:6" ht="6" customHeight="1">
      <c r="B35" s="57"/>
      <c r="C35" s="57"/>
      <c r="D35" s="57"/>
      <c r="E35" s="57"/>
      <c r="F35" s="211"/>
    </row>
    <row r="36" spans="1:11" ht="12.75" customHeight="1">
      <c r="A36" s="12" t="s">
        <v>514</v>
      </c>
      <c r="B36" s="57"/>
      <c r="C36" s="57"/>
      <c r="D36" s="57"/>
      <c r="E36" s="57"/>
      <c r="F36" s="263">
        <f>60000+40000+100000</f>
        <v>200000</v>
      </c>
      <c r="K36" s="263"/>
    </row>
    <row r="37" spans="2:6" ht="6" customHeight="1">
      <c r="B37" s="57"/>
      <c r="C37" s="57"/>
      <c r="D37" s="57"/>
      <c r="E37" s="57"/>
      <c r="F37" s="158"/>
    </row>
    <row r="38" spans="1:6" ht="12.75" customHeight="1">
      <c r="A38" s="12" t="s">
        <v>582</v>
      </c>
      <c r="B38" s="57"/>
      <c r="C38" s="57"/>
      <c r="D38" s="57"/>
      <c r="E38" s="57"/>
      <c r="F38" s="158"/>
    </row>
    <row r="39" spans="1:11" ht="12.75" customHeight="1">
      <c r="A39" s="58" t="s">
        <v>583</v>
      </c>
      <c r="B39" s="57"/>
      <c r="C39" s="57"/>
      <c r="D39" s="57"/>
      <c r="E39" s="57"/>
      <c r="F39" s="263">
        <v>111448</v>
      </c>
      <c r="K39" s="263"/>
    </row>
    <row r="40" spans="2:6" ht="6" customHeight="1">
      <c r="B40" s="57"/>
      <c r="C40" s="57"/>
      <c r="D40" s="57"/>
      <c r="E40" s="57"/>
      <c r="F40" s="158"/>
    </row>
    <row r="41" spans="1:5" ht="12.75" customHeight="1">
      <c r="A41" s="12" t="s">
        <v>584</v>
      </c>
      <c r="B41" s="57"/>
      <c r="C41" s="57"/>
      <c r="D41" s="57"/>
      <c r="E41" s="57"/>
    </row>
    <row r="42" spans="1:11" ht="12.75" customHeight="1">
      <c r="A42" s="38" t="s">
        <v>585</v>
      </c>
      <c r="B42" s="57"/>
      <c r="C42" s="57"/>
      <c r="D42" s="57"/>
      <c r="E42" s="57"/>
      <c r="F42" s="263">
        <v>25187</v>
      </c>
      <c r="K42" s="263"/>
    </row>
    <row r="43" spans="2:5" ht="6" customHeight="1">
      <c r="B43" s="57"/>
      <c r="C43" s="57"/>
      <c r="D43" s="57"/>
      <c r="E43" s="57"/>
    </row>
    <row r="44" spans="1:6" ht="12.75" customHeight="1">
      <c r="A44" s="12" t="s">
        <v>586</v>
      </c>
      <c r="B44" s="57"/>
      <c r="C44" s="57"/>
      <c r="D44" s="57"/>
      <c r="E44" s="57"/>
      <c r="F44" s="158"/>
    </row>
    <row r="45" spans="1:11" ht="12.75" customHeight="1">
      <c r="A45" s="58" t="s">
        <v>555</v>
      </c>
      <c r="B45" s="57"/>
      <c r="C45" s="57"/>
      <c r="D45" s="57"/>
      <c r="E45" s="57"/>
      <c r="F45" s="263">
        <v>580466.1</v>
      </c>
      <c r="K45" s="263"/>
    </row>
    <row r="46" spans="2:6" ht="6" customHeight="1">
      <c r="B46" s="57"/>
      <c r="C46" s="57"/>
      <c r="D46" s="57"/>
      <c r="E46" s="57"/>
      <c r="F46" s="158"/>
    </row>
    <row r="47" spans="1:6" ht="12.75" customHeight="1">
      <c r="A47" s="12" t="s">
        <v>512</v>
      </c>
      <c r="B47" s="57"/>
      <c r="C47" s="57"/>
      <c r="D47" s="57"/>
      <c r="E47" s="57"/>
      <c r="F47" s="158"/>
    </row>
    <row r="48" spans="1:11" ht="12.75" customHeight="1">
      <c r="A48" s="58" t="s">
        <v>587</v>
      </c>
      <c r="B48" s="57"/>
      <c r="C48" s="57"/>
      <c r="D48" s="57"/>
      <c r="E48" s="57"/>
      <c r="F48" s="263">
        <v>213400</v>
      </c>
      <c r="K48" s="263"/>
    </row>
    <row r="49" spans="2:6" ht="7.5" customHeight="1">
      <c r="B49" s="57"/>
      <c r="C49" s="57"/>
      <c r="D49" s="57"/>
      <c r="E49" s="57"/>
      <c r="F49" s="158"/>
    </row>
    <row r="50" spans="1:11" ht="13.5" thickBot="1">
      <c r="A50" s="12"/>
      <c r="B50" s="57"/>
      <c r="C50" s="57"/>
      <c r="D50" s="57"/>
      <c r="E50" s="57"/>
      <c r="F50" s="265">
        <f>SUM(F29:F49)</f>
        <v>1917734.44</v>
      </c>
      <c r="K50" s="264"/>
    </row>
    <row r="51" spans="1:5" ht="13.5" thickTop="1">
      <c r="A51" s="58"/>
      <c r="B51" s="57"/>
      <c r="C51" s="57"/>
      <c r="D51" s="57"/>
      <c r="E51" s="57"/>
    </row>
    <row r="52" spans="1:6" ht="12.75">
      <c r="A52" s="12"/>
      <c r="B52" s="57"/>
      <c r="C52" s="57"/>
      <c r="D52" s="57"/>
      <c r="E52" s="57"/>
      <c r="F52" s="16"/>
    </row>
    <row r="53" spans="1:6" ht="12.75">
      <c r="A53" s="12"/>
      <c r="B53" s="57"/>
      <c r="C53" s="57"/>
      <c r="D53" s="57"/>
      <c r="E53" s="57"/>
      <c r="F53" s="16"/>
    </row>
    <row r="54" spans="1:6" ht="12.75">
      <c r="A54" s="12"/>
      <c r="B54" s="57"/>
      <c r="C54" s="57"/>
      <c r="D54" s="57"/>
      <c r="E54" s="57"/>
      <c r="F54" s="16"/>
    </row>
    <row r="55" spans="1:6" ht="12.75">
      <c r="A55" s="58"/>
      <c r="B55" s="57"/>
      <c r="C55" s="57"/>
      <c r="D55" s="57"/>
      <c r="E55" s="57"/>
      <c r="F55" s="16"/>
    </row>
    <row r="56" spans="1:6" ht="12" customHeight="1">
      <c r="A56" s="58"/>
      <c r="B56" s="57"/>
      <c r="C56" s="57"/>
      <c r="D56" s="57"/>
      <c r="E56" s="57"/>
      <c r="F56" s="16"/>
    </row>
    <row r="57" spans="1:7" ht="12.75">
      <c r="A57" s="38"/>
      <c r="B57" s="59"/>
      <c r="C57" s="59"/>
      <c r="D57" s="59"/>
      <c r="E57" s="59"/>
      <c r="F57" s="60"/>
      <c r="G57" s="61"/>
    </row>
    <row r="58" spans="1:7" ht="12.75">
      <c r="A58" s="12"/>
      <c r="B58" s="59"/>
      <c r="C58" s="59"/>
      <c r="D58" s="59"/>
      <c r="E58" s="59"/>
      <c r="F58" s="60"/>
      <c r="G58" s="61"/>
    </row>
    <row r="59" spans="1:7" ht="12.75">
      <c r="A59" s="38"/>
      <c r="B59" s="59"/>
      <c r="C59" s="59"/>
      <c r="D59" s="59"/>
      <c r="E59" s="59"/>
      <c r="F59" s="60"/>
      <c r="G59" s="61"/>
    </row>
    <row r="60" spans="1:7" ht="12.75">
      <c r="A60" s="12"/>
      <c r="B60" s="59"/>
      <c r="C60" s="59"/>
      <c r="D60" s="59"/>
      <c r="E60" s="59"/>
      <c r="F60" s="60"/>
      <c r="G60" s="61"/>
    </row>
    <row r="61" spans="1:7" ht="12.75">
      <c r="A61" s="12"/>
      <c r="B61" s="59"/>
      <c r="C61" s="59"/>
      <c r="D61" s="59"/>
      <c r="E61" s="59"/>
      <c r="F61" s="60"/>
      <c r="G61" s="61"/>
    </row>
    <row r="62" spans="1:7" ht="12.75">
      <c r="A62" s="12"/>
      <c r="B62" s="59"/>
      <c r="C62" s="59"/>
      <c r="D62" s="59"/>
      <c r="E62" s="59"/>
      <c r="F62" s="60"/>
      <c r="G62" s="61"/>
    </row>
    <row r="63" spans="1:7" ht="12.75">
      <c r="A63" s="12"/>
      <c r="B63" s="59"/>
      <c r="C63" s="59"/>
      <c r="D63" s="59"/>
      <c r="E63" s="59"/>
      <c r="F63" s="60"/>
      <c r="G63" s="61"/>
    </row>
    <row r="64" spans="1:7" ht="12.75">
      <c r="A64" s="12"/>
      <c r="B64" s="59"/>
      <c r="C64" s="59"/>
      <c r="D64" s="59"/>
      <c r="E64" s="59"/>
      <c r="F64" s="60"/>
      <c r="G64" s="61"/>
    </row>
    <row r="65" spans="1:7" ht="12.75">
      <c r="A65" s="12"/>
      <c r="B65" s="59"/>
      <c r="C65" s="59"/>
      <c r="D65" s="59"/>
      <c r="E65" s="59"/>
      <c r="F65" s="60"/>
      <c r="G65" s="61"/>
    </row>
    <row r="66" spans="1:7" ht="12.75">
      <c r="A66" s="12"/>
      <c r="B66" s="59"/>
      <c r="C66" s="59"/>
      <c r="D66" s="59"/>
      <c r="E66" s="59"/>
      <c r="F66" s="60"/>
      <c r="G66" s="61"/>
    </row>
    <row r="67" spans="1:7" ht="12.75">
      <c r="A67" s="12"/>
      <c r="B67" s="59"/>
      <c r="C67" s="59"/>
      <c r="D67" s="59"/>
      <c r="E67" s="59"/>
      <c r="F67" s="60"/>
      <c r="G67" s="61"/>
    </row>
    <row r="68" spans="1:7" ht="12.75">
      <c r="A68" s="12"/>
      <c r="B68" s="59"/>
      <c r="C68" s="59"/>
      <c r="D68" s="59"/>
      <c r="E68" s="59"/>
      <c r="F68" s="60"/>
      <c r="G68" s="61"/>
    </row>
    <row r="69" spans="1:7" ht="12.75">
      <c r="A69" s="12"/>
      <c r="B69" s="59"/>
      <c r="C69" s="59"/>
      <c r="D69" s="59"/>
      <c r="E69" s="59"/>
      <c r="F69" s="60"/>
      <c r="G69" s="61"/>
    </row>
    <row r="70" spans="1:7" ht="12.75">
      <c r="A70" s="12"/>
      <c r="B70" s="59"/>
      <c r="C70" s="59"/>
      <c r="D70" s="59"/>
      <c r="E70" s="59"/>
      <c r="F70" s="60"/>
      <c r="G70" s="61"/>
    </row>
    <row r="71" spans="1:7" ht="12.75">
      <c r="A71" s="12"/>
      <c r="B71" s="59"/>
      <c r="C71" s="59"/>
      <c r="D71" s="59"/>
      <c r="E71" s="59"/>
      <c r="F71" s="60"/>
      <c r="G71" s="61"/>
    </row>
    <row r="72" spans="1:7" ht="12.75">
      <c r="A72" s="12"/>
      <c r="B72" s="59"/>
      <c r="C72" s="59"/>
      <c r="D72" s="59"/>
      <c r="E72" s="59"/>
      <c r="F72" s="60"/>
      <c r="G72" s="61"/>
    </row>
    <row r="73" spans="1:7" ht="12.75">
      <c r="A73" s="12"/>
      <c r="B73" s="59"/>
      <c r="C73" s="59"/>
      <c r="D73" s="59"/>
      <c r="E73" s="59"/>
      <c r="F73" s="60"/>
      <c r="G73" s="61"/>
    </row>
    <row r="74" spans="1:6" ht="12.75">
      <c r="A74" s="62"/>
      <c r="B74" s="63"/>
      <c r="C74" s="63"/>
      <c r="D74" s="63"/>
      <c r="E74" s="63"/>
      <c r="F74" s="62"/>
    </row>
    <row r="75" spans="1:6" ht="12.75">
      <c r="A75" s="62"/>
      <c r="B75" s="63"/>
      <c r="C75" s="63"/>
      <c r="D75" s="63"/>
      <c r="E75" s="63"/>
      <c r="F75" s="62"/>
    </row>
    <row r="76" spans="1:6" ht="12.75">
      <c r="A76" s="62"/>
      <c r="B76" s="63"/>
      <c r="C76" s="63"/>
      <c r="D76" s="63"/>
      <c r="E76" s="63"/>
      <c r="F76" s="62"/>
    </row>
  </sheetData>
  <mergeCells count="5">
    <mergeCell ref="A5:F5"/>
    <mergeCell ref="E1:F1"/>
    <mergeCell ref="A2:F2"/>
    <mergeCell ref="A3:F3"/>
    <mergeCell ref="A4:F4"/>
  </mergeCells>
  <printOptions/>
  <pageMargins left="0.984251968503937" right="0.5511811023622047" top="0.7874015748031497" bottom="0.984251968503937" header="0" footer="0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B1" sqref="B1:E16384"/>
    </sheetView>
  </sheetViews>
  <sheetFormatPr defaultColWidth="13.421875" defaultRowHeight="12.75"/>
  <cols>
    <col min="1" max="1" width="40.28125" style="1" customWidth="1"/>
    <col min="2" max="5" width="12.57421875" style="23" customWidth="1"/>
    <col min="6" max="6" width="6.57421875" style="1" customWidth="1"/>
    <col min="7" max="7" width="2.8515625" style="3" customWidth="1"/>
    <col min="8" max="16384" width="13.421875" style="1" customWidth="1"/>
  </cols>
  <sheetData>
    <row r="1" spans="1:6" ht="12.75" customHeight="1">
      <c r="A1" s="248"/>
      <c r="B1" s="249"/>
      <c r="C1" s="249"/>
      <c r="D1" s="249"/>
      <c r="E1" s="287" t="s">
        <v>10</v>
      </c>
      <c r="F1" s="287"/>
    </row>
    <row r="2" spans="1:6" ht="12.75" customHeight="1">
      <c r="A2" s="286" t="s">
        <v>309</v>
      </c>
      <c r="B2" s="286"/>
      <c r="C2" s="286"/>
      <c r="D2" s="286"/>
      <c r="E2" s="286"/>
      <c r="F2" s="286"/>
    </row>
    <row r="3" spans="1:6" ht="12.75" customHeight="1">
      <c r="A3" s="286" t="s">
        <v>524</v>
      </c>
      <c r="B3" s="286"/>
      <c r="C3" s="286"/>
      <c r="D3" s="286"/>
      <c r="E3" s="286"/>
      <c r="F3" s="286"/>
    </row>
    <row r="4" spans="1:6" ht="12.75" customHeight="1">
      <c r="A4" s="286" t="s">
        <v>316</v>
      </c>
      <c r="B4" s="286"/>
      <c r="C4" s="286"/>
      <c r="D4" s="286"/>
      <c r="E4" s="286"/>
      <c r="F4" s="286"/>
    </row>
    <row r="5" spans="1:7" ht="12.75" customHeight="1">
      <c r="A5" s="286" t="s">
        <v>452</v>
      </c>
      <c r="B5" s="286"/>
      <c r="C5" s="286"/>
      <c r="D5" s="286"/>
      <c r="E5" s="286"/>
      <c r="F5" s="286"/>
      <c r="G5" s="93"/>
    </row>
    <row r="6" spans="1:6" ht="18.75" customHeight="1">
      <c r="A6" s="17"/>
      <c r="B6" s="17"/>
      <c r="C6" s="17"/>
      <c r="D6" s="17"/>
      <c r="E6" s="17"/>
      <c r="F6" s="17"/>
    </row>
    <row r="7" spans="1:6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spans="2:6" ht="9" customHeight="1">
      <c r="B8" s="31"/>
      <c r="C8" s="31"/>
      <c r="E8" s="31"/>
      <c r="F8" s="64"/>
    </row>
    <row r="9" spans="1:6" ht="12.75">
      <c r="A9" s="5" t="s">
        <v>57</v>
      </c>
      <c r="B9" s="160">
        <v>7975574.86</v>
      </c>
      <c r="C9" s="160">
        <v>10421918.49</v>
      </c>
      <c r="D9" s="160">
        <v>9412905.35</v>
      </c>
      <c r="E9" s="161">
        <f aca="true" t="shared" si="0" ref="E9:E35">SUM(B9:D9)</f>
        <v>27810398.700000003</v>
      </c>
      <c r="F9" s="162">
        <f aca="true" t="shared" si="1" ref="F9:F35">(E9/$E$99)*100</f>
        <v>2.9407211540887777</v>
      </c>
    </row>
    <row r="10" spans="1:6" ht="12.75">
      <c r="A10" s="5" t="s">
        <v>431</v>
      </c>
      <c r="B10" s="160">
        <v>11761.72</v>
      </c>
      <c r="C10" s="160"/>
      <c r="D10" s="160"/>
      <c r="E10" s="161">
        <f t="shared" si="0"/>
        <v>11761.72</v>
      </c>
      <c r="F10" s="162">
        <f t="shared" si="1"/>
        <v>0.0012437052480110274</v>
      </c>
    </row>
    <row r="11" spans="1:6" ht="12.75">
      <c r="A11" s="5" t="s">
        <v>254</v>
      </c>
      <c r="B11" s="160">
        <v>314904.44</v>
      </c>
      <c r="C11" s="160">
        <v>183592.83</v>
      </c>
      <c r="D11" s="160">
        <v>100000</v>
      </c>
      <c r="E11" s="161">
        <f t="shared" si="0"/>
        <v>598497.27</v>
      </c>
      <c r="F11" s="162">
        <f t="shared" si="1"/>
        <v>0.0632861686572434</v>
      </c>
    </row>
    <row r="12" spans="1:6" ht="12.75">
      <c r="A12" s="5" t="s">
        <v>331</v>
      </c>
      <c r="B12" s="160">
        <v>5162130.99</v>
      </c>
      <c r="C12" s="160">
        <v>5957.19</v>
      </c>
      <c r="D12" s="160">
        <v>5223645.11</v>
      </c>
      <c r="E12" s="161">
        <f t="shared" si="0"/>
        <v>10391733.290000001</v>
      </c>
      <c r="F12" s="162">
        <f t="shared" si="1"/>
        <v>1.0988404101359242</v>
      </c>
    </row>
    <row r="13" spans="1:8" ht="12.75">
      <c r="A13" s="5" t="s">
        <v>332</v>
      </c>
      <c r="B13" s="160">
        <v>3625381.54</v>
      </c>
      <c r="C13" s="160"/>
      <c r="D13" s="160">
        <v>3656817.98</v>
      </c>
      <c r="E13" s="161">
        <f t="shared" si="0"/>
        <v>7282199.52</v>
      </c>
      <c r="F13" s="162">
        <f t="shared" si="1"/>
        <v>0.7700327639229113</v>
      </c>
      <c r="H13" s="103"/>
    </row>
    <row r="14" spans="1:6" ht="12.75">
      <c r="A14" s="5" t="s">
        <v>557</v>
      </c>
      <c r="B14" s="160">
        <v>7730197.07</v>
      </c>
      <c r="C14" s="160"/>
      <c r="D14" s="160">
        <v>7802378.81</v>
      </c>
      <c r="E14" s="161">
        <f t="shared" si="0"/>
        <v>15532575.879999999</v>
      </c>
      <c r="F14" s="162">
        <f t="shared" si="1"/>
        <v>1.6424422735012822</v>
      </c>
    </row>
    <row r="15" spans="1:6" ht="12.75">
      <c r="A15" s="5" t="s">
        <v>333</v>
      </c>
      <c r="B15" s="160">
        <v>9959244.36</v>
      </c>
      <c r="C15" s="160">
        <v>9859307.51</v>
      </c>
      <c r="D15" s="160">
        <v>10084081.65</v>
      </c>
      <c r="E15" s="161">
        <f t="shared" si="0"/>
        <v>29902633.519999996</v>
      </c>
      <c r="F15" s="162">
        <f t="shared" si="1"/>
        <v>3.1619577951332336</v>
      </c>
    </row>
    <row r="16" spans="1:6" ht="12.75">
      <c r="A16" s="5" t="s">
        <v>367</v>
      </c>
      <c r="B16" s="160">
        <v>-36903.2</v>
      </c>
      <c r="C16" s="160">
        <v>453633.74</v>
      </c>
      <c r="D16" s="160">
        <v>80000</v>
      </c>
      <c r="E16" s="161">
        <f t="shared" si="0"/>
        <v>496730.54</v>
      </c>
      <c r="F16" s="162">
        <f t="shared" si="1"/>
        <v>0.052525173141798276</v>
      </c>
    </row>
    <row r="17" spans="1:6" ht="12.75">
      <c r="A17" s="5" t="s">
        <v>300</v>
      </c>
      <c r="B17" s="160">
        <v>113585.65</v>
      </c>
      <c r="C17" s="160">
        <v>13395.52</v>
      </c>
      <c r="D17" s="160"/>
      <c r="E17" s="161">
        <f t="shared" si="0"/>
        <v>126981.17</v>
      </c>
      <c r="F17" s="162">
        <f t="shared" si="1"/>
        <v>0.013427215367104508</v>
      </c>
    </row>
    <row r="18" spans="1:6" ht="12.75">
      <c r="A18" s="5" t="s">
        <v>423</v>
      </c>
      <c r="B18" s="160">
        <v>15000</v>
      </c>
      <c r="C18" s="160"/>
      <c r="D18" s="160"/>
      <c r="E18" s="161">
        <f t="shared" si="0"/>
        <v>15000</v>
      </c>
      <c r="F18" s="162">
        <f t="shared" si="1"/>
        <v>0.0015861267501832564</v>
      </c>
    </row>
    <row r="19" spans="1:6" ht="12.75">
      <c r="A19" s="5" t="s">
        <v>182</v>
      </c>
      <c r="B19" s="160">
        <v>3850524.06</v>
      </c>
      <c r="C19" s="160">
        <v>3953263.48</v>
      </c>
      <c r="D19" s="160">
        <v>2777688.43</v>
      </c>
      <c r="E19" s="161">
        <f t="shared" si="0"/>
        <v>10581475.97</v>
      </c>
      <c r="F19" s="162">
        <f t="shared" si="1"/>
        <v>1.1189041394958883</v>
      </c>
    </row>
    <row r="20" spans="1:6" ht="12.75">
      <c r="A20" s="5" t="s">
        <v>58</v>
      </c>
      <c r="B20" s="160">
        <v>42300</v>
      </c>
      <c r="C20" s="160">
        <v>83400</v>
      </c>
      <c r="D20" s="160"/>
      <c r="E20" s="161">
        <f t="shared" si="0"/>
        <v>125700</v>
      </c>
      <c r="F20" s="162">
        <f t="shared" si="1"/>
        <v>0.01329174216653569</v>
      </c>
    </row>
    <row r="21" spans="1:6" ht="12.75">
      <c r="A21" s="5" t="s">
        <v>59</v>
      </c>
      <c r="B21" s="160">
        <v>136000</v>
      </c>
      <c r="C21" s="160">
        <v>84000</v>
      </c>
      <c r="D21" s="160">
        <v>87419.72</v>
      </c>
      <c r="E21" s="161">
        <f t="shared" si="0"/>
        <v>307419.72</v>
      </c>
      <c r="F21" s="162">
        <f t="shared" si="1"/>
        <v>0.032507109428389774</v>
      </c>
    </row>
    <row r="22" spans="1:6" ht="12.75">
      <c r="A22" s="5" t="s">
        <v>60</v>
      </c>
      <c r="B22" s="160">
        <v>60447.58</v>
      </c>
      <c r="C22" s="160">
        <v>143039.6</v>
      </c>
      <c r="D22" s="160">
        <v>74937.25</v>
      </c>
      <c r="E22" s="161">
        <f t="shared" si="0"/>
        <v>278424.43</v>
      </c>
      <c r="F22" s="162">
        <f t="shared" si="1"/>
        <v>0.029441095755168373</v>
      </c>
    </row>
    <row r="23" spans="1:8" ht="12.75">
      <c r="A23" s="5" t="s">
        <v>61</v>
      </c>
      <c r="B23" s="160">
        <v>111840</v>
      </c>
      <c r="C23" s="160">
        <v>57173.3</v>
      </c>
      <c r="D23" s="160">
        <v>41788.5</v>
      </c>
      <c r="E23" s="161">
        <f t="shared" si="0"/>
        <v>210801.8</v>
      </c>
      <c r="F23" s="162">
        <f t="shared" si="1"/>
        <v>0.022290558264452053</v>
      </c>
      <c r="H23" s="160"/>
    </row>
    <row r="24" spans="1:6" ht="12.75">
      <c r="A24" s="5" t="s">
        <v>62</v>
      </c>
      <c r="B24" s="160">
        <v>2785</v>
      </c>
      <c r="C24" s="160">
        <v>680</v>
      </c>
      <c r="D24" s="160"/>
      <c r="E24" s="161">
        <f t="shared" si="0"/>
        <v>3465</v>
      </c>
      <c r="F24" s="162">
        <f t="shared" si="1"/>
        <v>0.00036639527929233225</v>
      </c>
    </row>
    <row r="25" spans="1:6" ht="12.75">
      <c r="A25" s="5" t="s">
        <v>63</v>
      </c>
      <c r="B25" s="160">
        <v>8067</v>
      </c>
      <c r="C25" s="160">
        <v>1200</v>
      </c>
      <c r="D25" s="160">
        <v>4270</v>
      </c>
      <c r="E25" s="161">
        <f t="shared" si="0"/>
        <v>13537</v>
      </c>
      <c r="F25" s="162">
        <f t="shared" si="1"/>
        <v>0.0014314265211487164</v>
      </c>
    </row>
    <row r="26" spans="1:6" ht="12.75">
      <c r="A26" s="5" t="s">
        <v>390</v>
      </c>
      <c r="B26" s="160">
        <v>706687.11</v>
      </c>
      <c r="C26" s="160">
        <v>706687.11</v>
      </c>
      <c r="D26" s="160">
        <v>706687.11</v>
      </c>
      <c r="E26" s="161">
        <f t="shared" si="0"/>
        <v>2120061.33</v>
      </c>
      <c r="F26" s="162">
        <f t="shared" si="1"/>
        <v>0.2241790658361395</v>
      </c>
    </row>
    <row r="27" spans="1:6" ht="12.75">
      <c r="A27" s="5" t="s">
        <v>362</v>
      </c>
      <c r="B27" s="160">
        <v>398766.12</v>
      </c>
      <c r="C27" s="160">
        <v>199383.06</v>
      </c>
      <c r="D27" s="160">
        <v>398766.12</v>
      </c>
      <c r="E27" s="161">
        <f t="shared" si="0"/>
        <v>996915.2999999999</v>
      </c>
      <c r="F27" s="162">
        <f t="shared" si="1"/>
        <v>0.10541560166646441</v>
      </c>
    </row>
    <row r="28" spans="1:8" ht="12.75">
      <c r="A28" s="5" t="s">
        <v>391</v>
      </c>
      <c r="B28" s="160">
        <v>55440</v>
      </c>
      <c r="C28" s="160"/>
      <c r="D28" s="160">
        <v>327839.31</v>
      </c>
      <c r="E28" s="161">
        <f t="shared" si="0"/>
        <v>383279.31</v>
      </c>
      <c r="F28" s="162">
        <f t="shared" si="1"/>
        <v>0.04052863775885206</v>
      </c>
      <c r="H28" s="103"/>
    </row>
    <row r="29" spans="1:6" ht="12.75">
      <c r="A29" s="5" t="s">
        <v>64</v>
      </c>
      <c r="B29" s="160">
        <v>64566.8</v>
      </c>
      <c r="C29" s="160">
        <v>26565</v>
      </c>
      <c r="D29" s="160">
        <v>32283.4</v>
      </c>
      <c r="E29" s="161">
        <f t="shared" si="0"/>
        <v>123415.20000000001</v>
      </c>
      <c r="F29" s="162">
        <f t="shared" si="1"/>
        <v>0.013050143339947778</v>
      </c>
    </row>
    <row r="30" spans="1:6" ht="12.75">
      <c r="A30" s="5" t="s">
        <v>432</v>
      </c>
      <c r="B30" s="160">
        <v>59493.7</v>
      </c>
      <c r="C30" s="160"/>
      <c r="D30" s="160">
        <v>237974.8</v>
      </c>
      <c r="E30" s="161">
        <f t="shared" si="0"/>
        <v>297468.5</v>
      </c>
      <c r="F30" s="162">
        <f t="shared" si="1"/>
        <v>0.03145484967912587</v>
      </c>
    </row>
    <row r="31" spans="1:6" ht="12.75">
      <c r="A31" s="5" t="s">
        <v>443</v>
      </c>
      <c r="B31" s="160">
        <v>4596715.17</v>
      </c>
      <c r="C31" s="160"/>
      <c r="D31" s="160">
        <v>4761212.59</v>
      </c>
      <c r="E31" s="161">
        <f t="shared" si="0"/>
        <v>9357927.76</v>
      </c>
      <c r="F31" s="162">
        <f t="shared" si="1"/>
        <v>0.989523969761232</v>
      </c>
    </row>
    <row r="32" spans="1:6" ht="12.75">
      <c r="A32" s="5" t="s">
        <v>65</v>
      </c>
      <c r="B32" s="160">
        <v>213992.6</v>
      </c>
      <c r="C32" s="160">
        <v>97830</v>
      </c>
      <c r="D32" s="160">
        <v>58100</v>
      </c>
      <c r="E32" s="161">
        <f t="shared" si="0"/>
        <v>369922.6</v>
      </c>
      <c r="F32" s="162">
        <f t="shared" si="1"/>
        <v>0.03911627542382271</v>
      </c>
    </row>
    <row r="33" spans="1:6" ht="12.75">
      <c r="A33" s="5" t="s">
        <v>473</v>
      </c>
      <c r="B33" s="160">
        <v>5290</v>
      </c>
      <c r="C33" s="160"/>
      <c r="D33" s="160"/>
      <c r="E33" s="161">
        <f>SUM(B33:D33)</f>
        <v>5290</v>
      </c>
      <c r="F33" s="162">
        <f t="shared" si="1"/>
        <v>0.0005593740338979618</v>
      </c>
    </row>
    <row r="34" spans="1:6" ht="12.75">
      <c r="A34" s="5" t="s">
        <v>147</v>
      </c>
      <c r="B34" s="160">
        <v>40000</v>
      </c>
      <c r="C34" s="160">
        <v>36000</v>
      </c>
      <c r="D34" s="160">
        <v>16000</v>
      </c>
      <c r="E34" s="161">
        <f t="shared" si="0"/>
        <v>92000</v>
      </c>
      <c r="F34" s="162">
        <f t="shared" si="1"/>
        <v>0.00972824406779064</v>
      </c>
    </row>
    <row r="35" spans="1:6" ht="12.75">
      <c r="A35" s="5" t="s">
        <v>350</v>
      </c>
      <c r="B35" s="160">
        <v>6042992.53</v>
      </c>
      <c r="C35" s="160">
        <v>6027233.26</v>
      </c>
      <c r="D35" s="160">
        <v>5966293.7</v>
      </c>
      <c r="E35" s="161">
        <f t="shared" si="0"/>
        <v>18036519.49</v>
      </c>
      <c r="F35" s="162">
        <f t="shared" si="1"/>
        <v>1.9072137362193777</v>
      </c>
    </row>
    <row r="36" spans="1:6" ht="9" customHeight="1">
      <c r="A36" s="5"/>
      <c r="B36" s="160"/>
      <c r="C36" s="160"/>
      <c r="D36" s="160"/>
      <c r="E36" s="161"/>
      <c r="F36" s="162"/>
    </row>
    <row r="37" spans="1:7" ht="12.75">
      <c r="A37" s="18" t="s">
        <v>227</v>
      </c>
      <c r="B37" s="163">
        <f>SUM(B9:B35)</f>
        <v>51266785.1</v>
      </c>
      <c r="C37" s="163">
        <f>SUM(C9:C35)</f>
        <v>32354260.089999996</v>
      </c>
      <c r="D37" s="163">
        <f>SUM(D9:D35)</f>
        <v>51851089.83</v>
      </c>
      <c r="E37" s="163">
        <f>SUM(E9:E35)</f>
        <v>135472135.02</v>
      </c>
      <c r="F37" s="163">
        <f>SUM(F9:F35)</f>
        <v>14.325065150643992</v>
      </c>
      <c r="G37" s="97"/>
    </row>
    <row r="38" spans="2:8" ht="12.75">
      <c r="B38" s="103"/>
      <c r="C38" s="103"/>
      <c r="D38" s="103"/>
      <c r="E38" s="288"/>
      <c r="F38" s="288"/>
      <c r="H38" s="222"/>
    </row>
    <row r="39" spans="1:7" ht="12.75" customHeight="1">
      <c r="A39" s="75" t="s">
        <v>270</v>
      </c>
      <c r="B39" s="199"/>
      <c r="C39" s="199"/>
      <c r="D39" s="199"/>
      <c r="E39" s="75"/>
      <c r="F39" s="2"/>
      <c r="G39" s="10" t="s">
        <v>23</v>
      </c>
    </row>
    <row r="40" spans="1:6" ht="9" customHeight="1">
      <c r="A40" s="75"/>
      <c r="B40" s="199"/>
      <c r="C40" s="199"/>
      <c r="D40" s="199"/>
      <c r="E40" s="75"/>
      <c r="F40" s="2"/>
    </row>
    <row r="41" spans="1:6" ht="12.75">
      <c r="A41" s="5" t="s">
        <v>220</v>
      </c>
      <c r="B41" s="160">
        <v>520000</v>
      </c>
      <c r="C41" s="160">
        <v>65000</v>
      </c>
      <c r="D41" s="160">
        <v>915000</v>
      </c>
      <c r="E41" s="161">
        <f aca="true" t="shared" si="2" ref="E41:E46">SUM(B41:D41)</f>
        <v>1500000</v>
      </c>
      <c r="F41" s="164">
        <f aca="true" t="shared" si="3" ref="F41:F46">(E41/$E$99)*100</f>
        <v>0.15861267501832566</v>
      </c>
    </row>
    <row r="42" spans="1:6" ht="12.75">
      <c r="A42" s="5" t="s">
        <v>219</v>
      </c>
      <c r="B42" s="160">
        <v>2952000</v>
      </c>
      <c r="C42" s="160">
        <v>525000</v>
      </c>
      <c r="D42" s="160">
        <v>2460000</v>
      </c>
      <c r="E42" s="161">
        <f t="shared" si="2"/>
        <v>5937000</v>
      </c>
      <c r="F42" s="164">
        <f t="shared" si="3"/>
        <v>0.6277889677225329</v>
      </c>
    </row>
    <row r="43" spans="1:6" ht="12.75">
      <c r="A43" s="5" t="s">
        <v>244</v>
      </c>
      <c r="B43" s="160">
        <v>317500</v>
      </c>
      <c r="C43" s="160">
        <v>68000</v>
      </c>
      <c r="D43" s="160"/>
      <c r="E43" s="161">
        <f t="shared" si="2"/>
        <v>385500</v>
      </c>
      <c r="F43" s="164">
        <f t="shared" si="3"/>
        <v>0.04076345747970969</v>
      </c>
    </row>
    <row r="44" spans="1:6" ht="12.75">
      <c r="A44" s="5" t="s">
        <v>588</v>
      </c>
      <c r="B44" s="160">
        <v>61897.86</v>
      </c>
      <c r="C44" s="160"/>
      <c r="D44" s="160"/>
      <c r="E44" s="161">
        <f t="shared" si="2"/>
        <v>61897.86</v>
      </c>
      <c r="F44" s="164">
        <f t="shared" si="3"/>
        <v>0.006545190101673213</v>
      </c>
    </row>
    <row r="45" spans="1:6" ht="12.75">
      <c r="A45" s="5" t="s">
        <v>372</v>
      </c>
      <c r="B45" s="160">
        <v>409484.88</v>
      </c>
      <c r="C45" s="160">
        <v>54914.91</v>
      </c>
      <c r="D45" s="160"/>
      <c r="E45" s="161">
        <f t="shared" si="2"/>
        <v>464399.79000000004</v>
      </c>
      <c r="F45" s="164">
        <f t="shared" si="3"/>
        <v>0.049106461979899124</v>
      </c>
    </row>
    <row r="46" spans="1:6" ht="12.75">
      <c r="A46" s="5" t="s">
        <v>444</v>
      </c>
      <c r="B46" s="160"/>
      <c r="C46" s="160"/>
      <c r="D46" s="160">
        <v>85000</v>
      </c>
      <c r="E46" s="161">
        <f t="shared" si="2"/>
        <v>85000</v>
      </c>
      <c r="F46" s="164">
        <f t="shared" si="3"/>
        <v>0.008988051584371787</v>
      </c>
    </row>
    <row r="47" spans="1:6" ht="9" customHeight="1">
      <c r="A47" s="160"/>
      <c r="B47" s="160"/>
      <c r="C47" s="160"/>
      <c r="D47" s="160"/>
      <c r="E47" s="161"/>
      <c r="F47" s="164"/>
    </row>
    <row r="48" spans="1:6" ht="12.75">
      <c r="A48" s="266" t="s">
        <v>275</v>
      </c>
      <c r="B48" s="142">
        <f>SUM(B41:B47)</f>
        <v>4260882.74</v>
      </c>
      <c r="C48" s="142">
        <f>SUM(C41:C47)</f>
        <v>712914.91</v>
      </c>
      <c r="D48" s="142">
        <f>SUM(D41:D47)</f>
        <v>3460000</v>
      </c>
      <c r="E48" s="142">
        <f>SUM(E41:E47)</f>
        <v>8433797.65</v>
      </c>
      <c r="F48" s="142">
        <f>SUM(F41:F47)</f>
        <v>0.8918048038865123</v>
      </c>
    </row>
    <row r="49" spans="5:6" ht="12.75">
      <c r="E49" s="40"/>
      <c r="F49" s="228"/>
    </row>
    <row r="50" spans="1:6" ht="12.75" customHeight="1">
      <c r="A50" s="37"/>
      <c r="B50" s="37"/>
      <c r="C50" s="37"/>
      <c r="D50" s="37"/>
      <c r="E50" s="37"/>
      <c r="F50" s="37"/>
    </row>
    <row r="51" spans="1:6" ht="12.75">
      <c r="A51" s="266" t="s">
        <v>272</v>
      </c>
      <c r="B51" s="31"/>
      <c r="C51" s="31"/>
      <c r="D51" s="31"/>
      <c r="E51" s="32"/>
      <c r="F51" s="65"/>
    </row>
    <row r="52" spans="1:6" ht="7.5" customHeight="1">
      <c r="A52" s="2"/>
      <c r="B52" s="31"/>
      <c r="C52" s="31"/>
      <c r="D52" s="31"/>
      <c r="E52" s="32"/>
      <c r="F52" s="65"/>
    </row>
    <row r="53" spans="1:7" ht="12.75">
      <c r="A53" s="18" t="s">
        <v>221</v>
      </c>
      <c r="B53" s="31"/>
      <c r="C53" s="31"/>
      <c r="D53" s="31"/>
      <c r="E53" s="161"/>
      <c r="F53" s="164"/>
      <c r="G53" s="10" t="s">
        <v>23</v>
      </c>
    </row>
    <row r="54" spans="1:6" ht="12.75">
      <c r="A54" s="5" t="s">
        <v>218</v>
      </c>
      <c r="B54" s="160">
        <v>-184932.9</v>
      </c>
      <c r="C54" s="160">
        <v>-1629017.61</v>
      </c>
      <c r="D54" s="160"/>
      <c r="E54" s="161">
        <f>SUM(B54:D54)</f>
        <v>-1813950.51</v>
      </c>
      <c r="F54" s="164">
        <f>(E54/$E$99)*100</f>
        <v>-0.1918103618279707</v>
      </c>
    </row>
    <row r="55" spans="1:6" ht="12.75">
      <c r="A55" s="5" t="s">
        <v>589</v>
      </c>
      <c r="B55" s="160">
        <v>435</v>
      </c>
      <c r="C55" s="160">
        <v>-40435</v>
      </c>
      <c r="D55" s="160"/>
      <c r="E55" s="161">
        <f>SUM(B55:D55)</f>
        <v>-40000</v>
      </c>
      <c r="F55" s="164">
        <f>(E55/$E$99)*100</f>
        <v>-0.004229671333822018</v>
      </c>
    </row>
    <row r="56" spans="1:7" ht="12.75">
      <c r="A56" s="18" t="s">
        <v>277</v>
      </c>
      <c r="B56" s="160"/>
      <c r="C56" s="160"/>
      <c r="D56" s="160"/>
      <c r="E56" s="161"/>
      <c r="F56" s="164"/>
      <c r="G56" s="10" t="s">
        <v>23</v>
      </c>
    </row>
    <row r="57" spans="1:6" ht="12.75">
      <c r="A57" s="5" t="s">
        <v>276</v>
      </c>
      <c r="B57" s="160">
        <v>11381.11</v>
      </c>
      <c r="C57" s="160">
        <v>11381.11</v>
      </c>
      <c r="D57" s="160">
        <v>11381.11</v>
      </c>
      <c r="E57" s="161">
        <f>SUM(B57:D57)</f>
        <v>34143.33</v>
      </c>
      <c r="F57" s="164">
        <f>(E57/$E$99)*100</f>
        <v>0.0036103766035556328</v>
      </c>
    </row>
    <row r="58" spans="1:7" ht="12.75">
      <c r="A58" s="18" t="s">
        <v>389</v>
      </c>
      <c r="B58" s="160"/>
      <c r="C58" s="160"/>
      <c r="D58" s="160"/>
      <c r="E58" s="161"/>
      <c r="F58" s="164"/>
      <c r="G58" s="10" t="s">
        <v>23</v>
      </c>
    </row>
    <row r="59" spans="1:6" ht="12.75">
      <c r="A59" s="5" t="s">
        <v>388</v>
      </c>
      <c r="B59" s="160">
        <v>134750</v>
      </c>
      <c r="C59" s="160">
        <v>134750</v>
      </c>
      <c r="D59" s="160">
        <v>113612.33</v>
      </c>
      <c r="E59" s="161">
        <f>SUM(B59:D59)</f>
        <v>383112.33</v>
      </c>
      <c r="F59" s="164">
        <f>(E59/$E$99)*100</f>
        <v>0.04051098099586903</v>
      </c>
    </row>
    <row r="60" spans="1:6" ht="9" customHeight="1">
      <c r="A60" s="5"/>
      <c r="B60" s="206"/>
      <c r="C60" s="206"/>
      <c r="D60" s="206"/>
      <c r="E60" s="267"/>
      <c r="F60" s="268"/>
    </row>
    <row r="61" spans="1:6" ht="12.75">
      <c r="A61" s="266" t="s">
        <v>515</v>
      </c>
      <c r="B61" s="149">
        <f>SUM(B53:B60)</f>
        <v>-38366.78999999998</v>
      </c>
      <c r="C61" s="149">
        <f>SUM(C53:C60)</f>
        <v>-1523321.5</v>
      </c>
      <c r="D61" s="149">
        <f>SUM(D53:D60)</f>
        <v>124993.44</v>
      </c>
      <c r="E61" s="149">
        <f>SUM(E53:E60)</f>
        <v>-1436694.8499999999</v>
      </c>
      <c r="F61" s="149">
        <f>SUM(F53:F60)</f>
        <v>-0.15191867556236807</v>
      </c>
    </row>
    <row r="62" spans="1:6" ht="9" customHeight="1">
      <c r="A62" s="36"/>
      <c r="B62" s="165"/>
      <c r="C62" s="165"/>
      <c r="D62" s="165"/>
      <c r="E62" s="165"/>
      <c r="F62" s="165"/>
    </row>
    <row r="63" spans="1:6" ht="12.75">
      <c r="A63" s="66" t="s">
        <v>598</v>
      </c>
      <c r="B63" s="163">
        <f>B48+B61</f>
        <v>4222515.95</v>
      </c>
      <c r="C63" s="163">
        <f>C48+C61</f>
        <v>-810406.59</v>
      </c>
      <c r="D63" s="163">
        <f>D48+D61</f>
        <v>3584993.44</v>
      </c>
      <c r="E63" s="163">
        <f>E48+E61</f>
        <v>6997102.800000001</v>
      </c>
      <c r="F63" s="163">
        <f>F48+F61</f>
        <v>0.7398861283241442</v>
      </c>
    </row>
    <row r="64" spans="2:6" ht="12.75">
      <c r="B64" s="31"/>
      <c r="C64" s="31"/>
      <c r="D64" s="31"/>
      <c r="E64" s="32"/>
      <c r="F64" s="65"/>
    </row>
    <row r="65" spans="1:6" ht="12.75">
      <c r="A65" s="266" t="s">
        <v>271</v>
      </c>
      <c r="B65" s="31"/>
      <c r="C65" s="31"/>
      <c r="D65" s="31"/>
      <c r="E65" s="32"/>
      <c r="F65" s="65"/>
    </row>
    <row r="66" spans="1:6" ht="6" customHeight="1">
      <c r="A66" s="266"/>
      <c r="B66" s="31"/>
      <c r="C66" s="31"/>
      <c r="D66" s="31"/>
      <c r="E66" s="32"/>
      <c r="F66" s="65"/>
    </row>
    <row r="67" spans="1:7" ht="12.75">
      <c r="A67" s="18" t="s">
        <v>248</v>
      </c>
      <c r="B67" s="31"/>
      <c r="C67" s="31"/>
      <c r="D67" s="31"/>
      <c r="E67" s="32"/>
      <c r="G67" s="10" t="s">
        <v>23</v>
      </c>
    </row>
    <row r="68" spans="1:6" ht="12.75">
      <c r="A68" s="5" t="s">
        <v>247</v>
      </c>
      <c r="B68" s="160">
        <v>2434880.53</v>
      </c>
      <c r="C68" s="160">
        <f>2441619.55+500000</f>
        <v>2941619.55</v>
      </c>
      <c r="D68" s="160">
        <v>2119200.77</v>
      </c>
      <c r="E68" s="161">
        <f>SUM(B68:D68)</f>
        <v>7495700.85</v>
      </c>
      <c r="F68" s="166">
        <f>(E68/$E$99)*100</f>
        <v>0.7926087753037582</v>
      </c>
    </row>
    <row r="69" spans="1:6" ht="12.75">
      <c r="A69" s="5" t="s">
        <v>433</v>
      </c>
      <c r="B69" s="160">
        <v>-107500</v>
      </c>
      <c r="C69" s="160">
        <v>-340729.37</v>
      </c>
      <c r="D69" s="160"/>
      <c r="E69" s="161">
        <f>SUM(B69:D69)</f>
        <v>-448229.37</v>
      </c>
      <c r="F69" s="166">
        <f>(E69/$E$99)*100</f>
        <v>-0.047396572931652566</v>
      </c>
    </row>
    <row r="70" spans="1:6" ht="5.25" customHeight="1">
      <c r="A70" s="5"/>
      <c r="B70" s="160"/>
      <c r="C70" s="160"/>
      <c r="D70" s="160"/>
      <c r="E70" s="161"/>
      <c r="F70" s="166"/>
    </row>
    <row r="71" spans="1:7" ht="12.75">
      <c r="A71" s="18" t="s">
        <v>249</v>
      </c>
      <c r="B71" s="160"/>
      <c r="C71" s="160"/>
      <c r="D71" s="160"/>
      <c r="E71" s="161"/>
      <c r="F71" s="166"/>
      <c r="G71" s="10" t="s">
        <v>23</v>
      </c>
    </row>
    <row r="72" spans="1:7" ht="12.75">
      <c r="A72" s="5" t="s">
        <v>255</v>
      </c>
      <c r="B72" s="160"/>
      <c r="C72" s="160">
        <v>114275</v>
      </c>
      <c r="D72" s="160">
        <v>68854</v>
      </c>
      <c r="E72" s="161">
        <f>SUM(B72:D72)</f>
        <v>183129</v>
      </c>
      <c r="F72" s="166">
        <f>(E72/$E$99)*100</f>
        <v>0.019364387042287306</v>
      </c>
      <c r="G72" s="10"/>
    </row>
    <row r="73" spans="1:6" ht="12.75">
      <c r="A73" s="5" t="s">
        <v>594</v>
      </c>
      <c r="B73" s="160"/>
      <c r="C73" s="160">
        <v>73307</v>
      </c>
      <c r="D73" s="160">
        <v>52457</v>
      </c>
      <c r="E73" s="161">
        <f>SUM(B73:D73)</f>
        <v>125764</v>
      </c>
      <c r="F73" s="166">
        <f>(E73/$E$99)*100</f>
        <v>0.013298509640669804</v>
      </c>
    </row>
    <row r="74" spans="1:6" ht="12.75">
      <c r="A74" s="5" t="s">
        <v>595</v>
      </c>
      <c r="B74" s="160"/>
      <c r="C74" s="160">
        <v>37826</v>
      </c>
      <c r="D74" s="160">
        <v>52878</v>
      </c>
      <c r="E74" s="161">
        <f>SUM(B74:D74)</f>
        <v>90704</v>
      </c>
      <c r="F74" s="166">
        <f>(E74/$E$99)*100</f>
        <v>0.009591202716574806</v>
      </c>
    </row>
    <row r="75" spans="1:6" ht="6.75" customHeight="1">
      <c r="A75" s="5"/>
      <c r="B75" s="160"/>
      <c r="C75" s="160"/>
      <c r="D75" s="160"/>
      <c r="E75" s="161"/>
      <c r="F75" s="166"/>
    </row>
    <row r="76" spans="1:7" ht="12.75">
      <c r="A76" s="18" t="s">
        <v>217</v>
      </c>
      <c r="B76" s="160"/>
      <c r="C76" s="160"/>
      <c r="D76" s="160"/>
      <c r="E76" s="161"/>
      <c r="F76" s="166"/>
      <c r="G76" s="10" t="s">
        <v>23</v>
      </c>
    </row>
    <row r="77" spans="1:8" ht="12.75">
      <c r="A77" s="5" t="s">
        <v>596</v>
      </c>
      <c r="B77" s="160">
        <v>7300888.75</v>
      </c>
      <c r="C77" s="160">
        <v>2127219.3</v>
      </c>
      <c r="D77" s="160">
        <v>6752656.13</v>
      </c>
      <c r="E77" s="161">
        <f aca="true" t="shared" si="4" ref="E77:E86">SUM(B77:D77)</f>
        <v>16180764.18</v>
      </c>
      <c r="F77" s="166">
        <f aca="true" t="shared" si="5" ref="F77:F86">(E77/$E$99)*100</f>
        <v>1.710982860287003</v>
      </c>
      <c r="H77" s="222"/>
    </row>
    <row r="78" spans="1:7" ht="12.75">
      <c r="A78" s="5" t="s">
        <v>597</v>
      </c>
      <c r="B78" s="160">
        <v>1958840.87</v>
      </c>
      <c r="C78" s="160">
        <v>2494976.04</v>
      </c>
      <c r="D78" s="160">
        <v>3196522.05</v>
      </c>
      <c r="E78" s="161">
        <f t="shared" si="4"/>
        <v>7650338.96</v>
      </c>
      <c r="F78" s="166">
        <f t="shared" si="5"/>
        <v>0.8089604848283437</v>
      </c>
      <c r="G78" s="10"/>
    </row>
    <row r="79" spans="1:7" ht="12.75">
      <c r="A79" s="5" t="s">
        <v>66</v>
      </c>
      <c r="B79" s="160">
        <v>2270853.68</v>
      </c>
      <c r="C79" s="160">
        <v>2238272.98</v>
      </c>
      <c r="D79" s="160">
        <v>2237025.42</v>
      </c>
      <c r="E79" s="161">
        <f t="shared" si="4"/>
        <v>6746152.08</v>
      </c>
      <c r="F79" s="166">
        <f t="shared" si="5"/>
        <v>0.7133501516594944</v>
      </c>
      <c r="G79" s="10"/>
    </row>
    <row r="80" spans="1:7" ht="12.75">
      <c r="A80" s="5" t="s">
        <v>245</v>
      </c>
      <c r="B80" s="160">
        <v>67241.93</v>
      </c>
      <c r="C80" s="160">
        <v>162279.88</v>
      </c>
      <c r="D80" s="160">
        <v>116537.61</v>
      </c>
      <c r="E80" s="161">
        <f t="shared" si="4"/>
        <v>346059.42</v>
      </c>
      <c r="F80" s="166">
        <f t="shared" si="5"/>
        <v>0.03659294021432684</v>
      </c>
      <c r="G80" s="10"/>
    </row>
    <row r="81" spans="1:7" ht="12.75">
      <c r="A81" s="5" t="s">
        <v>246</v>
      </c>
      <c r="B81" s="160">
        <v>592988.75</v>
      </c>
      <c r="C81" s="160">
        <v>587728.3</v>
      </c>
      <c r="D81" s="160">
        <v>575615.89</v>
      </c>
      <c r="E81" s="161">
        <f t="shared" si="4"/>
        <v>1756332.94</v>
      </c>
      <c r="F81" s="166">
        <f t="shared" si="5"/>
        <v>0.18571777722413363</v>
      </c>
      <c r="G81" s="10"/>
    </row>
    <row r="82" spans="1:7" ht="12.75">
      <c r="A82" s="5" t="s">
        <v>351</v>
      </c>
      <c r="B82" s="160">
        <v>6042992.53</v>
      </c>
      <c r="C82" s="160">
        <v>6027233.26</v>
      </c>
      <c r="D82" s="160">
        <v>5966293.7</v>
      </c>
      <c r="E82" s="161">
        <f>SUM(B82:D82)</f>
        <v>18036519.49</v>
      </c>
      <c r="F82" s="166">
        <f t="shared" si="5"/>
        <v>1.9072137362193777</v>
      </c>
      <c r="G82" s="10"/>
    </row>
    <row r="83" spans="1:7" ht="6" customHeight="1">
      <c r="A83" s="5"/>
      <c r="B83" s="160"/>
      <c r="C83" s="160"/>
      <c r="D83" s="160"/>
      <c r="E83" s="161"/>
      <c r="F83" s="166"/>
      <c r="G83" s="10"/>
    </row>
    <row r="84" spans="1:7" ht="12.75">
      <c r="A84" s="18" t="s">
        <v>472</v>
      </c>
      <c r="B84" s="160"/>
      <c r="C84" s="160"/>
      <c r="D84" s="160"/>
      <c r="E84" s="161"/>
      <c r="F84" s="166"/>
      <c r="G84" s="10" t="s">
        <v>23</v>
      </c>
    </row>
    <row r="85" spans="1:7" ht="12.75">
      <c r="A85" s="5" t="s">
        <v>470</v>
      </c>
      <c r="B85" s="160">
        <v>-65962.57</v>
      </c>
      <c r="C85" s="160"/>
      <c r="D85" s="160"/>
      <c r="E85" s="161">
        <f>SUM(B85:D85)</f>
        <v>-65962.57</v>
      </c>
      <c r="F85" s="166">
        <f t="shared" si="5"/>
        <v>-0.006974999785855705</v>
      </c>
      <c r="G85" s="10"/>
    </row>
    <row r="86" spans="1:7" ht="12.75">
      <c r="A86" s="5" t="s">
        <v>471</v>
      </c>
      <c r="B86" s="160">
        <v>-51130</v>
      </c>
      <c r="C86" s="160"/>
      <c r="D86" s="160"/>
      <c r="E86" s="161">
        <f t="shared" si="4"/>
        <v>-51130</v>
      </c>
      <c r="F86" s="166">
        <f t="shared" si="5"/>
        <v>-0.005406577382457994</v>
      </c>
      <c r="G86" s="10"/>
    </row>
    <row r="87" spans="1:6" ht="5.25" customHeight="1">
      <c r="A87" s="160"/>
      <c r="B87" s="160"/>
      <c r="C87" s="160"/>
      <c r="D87" s="160"/>
      <c r="E87" s="161"/>
      <c r="F87" s="166"/>
    </row>
    <row r="88" spans="1:6" ht="12.75">
      <c r="A88" s="266" t="s">
        <v>273</v>
      </c>
      <c r="B88" s="142">
        <f>SUM(B68:B87)</f>
        <v>20444094.47</v>
      </c>
      <c r="C88" s="142">
        <f>SUM(C68:C87)</f>
        <v>16464007.940000001</v>
      </c>
      <c r="D88" s="142">
        <f>SUM(D68:D87)</f>
        <v>21138040.57</v>
      </c>
      <c r="E88" s="142">
        <f>SUM(E68:E87)</f>
        <v>58046142.98</v>
      </c>
      <c r="F88" s="167">
        <f>SUM(F68:F87)</f>
        <v>6.137902675036003</v>
      </c>
    </row>
    <row r="89" spans="2:6" ht="12.75">
      <c r="B89" s="103"/>
      <c r="C89" s="103"/>
      <c r="D89" s="103"/>
      <c r="E89" s="103"/>
      <c r="F89" s="168"/>
    </row>
    <row r="90" spans="1:7" ht="12.75">
      <c r="A90" s="266" t="s">
        <v>516</v>
      </c>
      <c r="B90" s="160"/>
      <c r="C90" s="160"/>
      <c r="D90" s="160"/>
      <c r="E90" s="161"/>
      <c r="F90" s="166"/>
      <c r="G90" s="10" t="s">
        <v>23</v>
      </c>
    </row>
    <row r="91" spans="1:7" ht="4.5" customHeight="1">
      <c r="A91" s="266"/>
      <c r="B91" s="160"/>
      <c r="C91" s="160"/>
      <c r="D91" s="160"/>
      <c r="E91" s="161"/>
      <c r="F91" s="166"/>
      <c r="G91" s="10"/>
    </row>
    <row r="92" spans="1:7" ht="12.75">
      <c r="A92" s="5" t="s">
        <v>590</v>
      </c>
      <c r="B92" s="160">
        <v>134618441.02</v>
      </c>
      <c r="C92" s="160">
        <v>138766653.31</v>
      </c>
      <c r="D92" s="160">
        <v>149957954.19</v>
      </c>
      <c r="E92" s="161">
        <f>SUM(B92:D92)</f>
        <v>423343048.52000004</v>
      </c>
      <c r="F92" s="166">
        <f>(E92/$E$99)*100</f>
        <v>44.765048917446684</v>
      </c>
      <c r="G92" s="10"/>
    </row>
    <row r="93" spans="1:7" ht="12.75">
      <c r="A93" s="5" t="s">
        <v>591</v>
      </c>
      <c r="B93" s="160"/>
      <c r="C93" s="160">
        <v>287883412.69</v>
      </c>
      <c r="D93" s="160"/>
      <c r="E93" s="161">
        <f>SUM(B93:D93)</f>
        <v>287883412.69</v>
      </c>
      <c r="F93" s="166">
        <f>(E93/$E$99)*100</f>
        <v>30.44130545344366</v>
      </c>
      <c r="G93" s="10"/>
    </row>
    <row r="94" spans="1:7" ht="12.75">
      <c r="A94" s="5" t="s">
        <v>592</v>
      </c>
      <c r="B94" s="160">
        <v>407009.76</v>
      </c>
      <c r="C94" s="160">
        <v>292792.38</v>
      </c>
      <c r="D94" s="160"/>
      <c r="E94" s="161">
        <f>SUM(B94:D94)</f>
        <v>699802.14</v>
      </c>
      <c r="F94" s="166">
        <f>(E94/$E$99)*100</f>
        <v>0.07399832627263256</v>
      </c>
      <c r="G94" s="10"/>
    </row>
    <row r="95" spans="1:6" ht="12.75">
      <c r="A95" s="5" t="s">
        <v>593</v>
      </c>
      <c r="B95" s="160">
        <v>14191857.88</v>
      </c>
      <c r="C95" s="160">
        <v>14192566.44</v>
      </c>
      <c r="D95" s="160">
        <v>4873888.88</v>
      </c>
      <c r="E95" s="161">
        <f>SUM(B95:D95)</f>
        <v>33258313.2</v>
      </c>
      <c r="F95" s="166">
        <f>(E95/$E$99)*100</f>
        <v>3.5167933488328598</v>
      </c>
    </row>
    <row r="96" spans="2:7" ht="9" customHeight="1">
      <c r="B96" s="160"/>
      <c r="C96" s="160"/>
      <c r="D96" s="160"/>
      <c r="E96" s="161"/>
      <c r="F96" s="166"/>
      <c r="G96" s="10"/>
    </row>
    <row r="97" spans="1:7" ht="12.75">
      <c r="A97" s="266" t="s">
        <v>274</v>
      </c>
      <c r="B97" s="163">
        <f>SUM(B92:B96)</f>
        <v>149217308.66</v>
      </c>
      <c r="C97" s="163">
        <f>SUM(C92:C96)</f>
        <v>441135424.82</v>
      </c>
      <c r="D97" s="163">
        <f>SUM(D92:D96)</f>
        <v>154831843.07</v>
      </c>
      <c r="E97" s="163">
        <f>SUM(E92:E96)</f>
        <v>745184576.5500001</v>
      </c>
      <c r="F97" s="163">
        <f>SUM(F92:F96)</f>
        <v>78.79714604599585</v>
      </c>
      <c r="G97" s="10"/>
    </row>
    <row r="98" spans="1:6" ht="9" customHeight="1">
      <c r="A98" s="5"/>
      <c r="B98" s="161"/>
      <c r="C98" s="161"/>
      <c r="D98" s="161"/>
      <c r="E98" s="161"/>
      <c r="F98" s="169"/>
    </row>
    <row r="99" spans="1:6" ht="13.5" thickBot="1">
      <c r="A99" s="78" t="s">
        <v>228</v>
      </c>
      <c r="B99" s="271">
        <f>SUM(B37+B63+B88+B97)</f>
        <v>225150704.18</v>
      </c>
      <c r="C99" s="271">
        <f>SUM(C37+C63+C88+C97)</f>
        <v>489143286.26</v>
      </c>
      <c r="D99" s="271">
        <f>SUM(D37+D63+D88+D97)</f>
        <v>231405966.91</v>
      </c>
      <c r="E99" s="271">
        <f>SUM(E37+E63+E88+E97)</f>
        <v>945699957.3500001</v>
      </c>
      <c r="F99" s="262">
        <f>SUM(F37+F63+F88+F97)</f>
        <v>99.99999999999999</v>
      </c>
    </row>
    <row r="100" spans="1:6" ht="13.5" thickTop="1">
      <c r="A100" s="78"/>
      <c r="B100" s="269"/>
      <c r="C100" s="269"/>
      <c r="D100" s="269"/>
      <c r="E100" s="269"/>
      <c r="F100" s="270"/>
    </row>
    <row r="101" spans="1:6" ht="12.75">
      <c r="A101" s="17"/>
      <c r="B101" s="30"/>
      <c r="C101" s="30"/>
      <c r="D101" s="30"/>
      <c r="E101" s="30"/>
      <c r="F101" s="17"/>
    </row>
    <row r="102" spans="1:4" ht="12.75">
      <c r="A102" s="8" t="s">
        <v>29</v>
      </c>
      <c r="D102" s="39"/>
    </row>
    <row r="103" spans="1:4" ht="12.75">
      <c r="A103" s="12" t="s">
        <v>365</v>
      </c>
      <c r="D103" s="160"/>
    </row>
    <row r="104" ht="12.75">
      <c r="D104" s="160"/>
    </row>
    <row r="105" ht="12.75">
      <c r="D105" s="160"/>
    </row>
    <row r="106" ht="12.75">
      <c r="D106" s="160"/>
    </row>
    <row r="115" ht="12.75">
      <c r="A115" s="12"/>
    </row>
  </sheetData>
  <mergeCells count="6">
    <mergeCell ref="E38:F38"/>
    <mergeCell ref="A5:F5"/>
    <mergeCell ref="E1:F1"/>
    <mergeCell ref="A2:F2"/>
    <mergeCell ref="A3:F3"/>
    <mergeCell ref="A4:F4"/>
  </mergeCells>
  <printOptions/>
  <pageMargins left="0.9448818897637796" right="0.5905511811023623" top="0.7874015748031497" bottom="0.8661417322834646" header="0" footer="0.3937007874015748"/>
  <pageSetup fitToHeight="2" horizontalDpi="600" verticalDpi="600" orientation="portrait" scale="90" r:id="rId1"/>
  <headerFooter alignWithMargins="0">
    <oddFooter>&amp;R&amp;P de &amp;N</oddFooter>
  </headerFooter>
  <rowBreaks count="1" manualBreakCount="1">
    <brk id="5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I7" sqref="I7"/>
    </sheetView>
  </sheetViews>
  <sheetFormatPr defaultColWidth="11.421875" defaultRowHeight="12.75"/>
  <cols>
    <col min="1" max="1" width="33.8515625" style="1" customWidth="1"/>
    <col min="2" max="5" width="11.7109375" style="23" customWidth="1"/>
    <col min="6" max="6" width="6.57421875" style="1" customWidth="1"/>
    <col min="7" max="16384" width="11.421875" style="1" customWidth="1"/>
  </cols>
  <sheetData>
    <row r="1" spans="1:6" ht="12.75" customHeight="1">
      <c r="A1" s="248"/>
      <c r="B1" s="249"/>
      <c r="C1" s="249"/>
      <c r="D1" s="249"/>
      <c r="E1" s="287" t="s">
        <v>12</v>
      </c>
      <c r="F1" s="287"/>
    </row>
    <row r="2" spans="1:6" ht="12.75" customHeight="1">
      <c r="A2" s="286" t="s">
        <v>309</v>
      </c>
      <c r="B2" s="286"/>
      <c r="C2" s="286"/>
      <c r="D2" s="286"/>
      <c r="E2" s="286"/>
      <c r="F2" s="286"/>
    </row>
    <row r="3" spans="1:6" ht="12.75" customHeight="1">
      <c r="A3" s="286" t="s">
        <v>524</v>
      </c>
      <c r="B3" s="286"/>
      <c r="C3" s="286"/>
      <c r="D3" s="286"/>
      <c r="E3" s="286"/>
      <c r="F3" s="286"/>
    </row>
    <row r="4" spans="1:6" ht="12.75" customHeight="1">
      <c r="A4" s="286" t="s">
        <v>317</v>
      </c>
      <c r="B4" s="286"/>
      <c r="C4" s="286"/>
      <c r="D4" s="286"/>
      <c r="E4" s="286"/>
      <c r="F4" s="286"/>
    </row>
    <row r="5" spans="1:7" ht="12.75" customHeight="1">
      <c r="A5" s="286" t="s">
        <v>452</v>
      </c>
      <c r="B5" s="286"/>
      <c r="C5" s="286"/>
      <c r="D5" s="286"/>
      <c r="E5" s="286"/>
      <c r="F5" s="286"/>
      <c r="G5" s="217"/>
    </row>
    <row r="6" spans="1:7" ht="18.75" customHeight="1">
      <c r="A6" s="93"/>
      <c r="B6" s="93"/>
      <c r="C6" s="93"/>
      <c r="D6" s="93"/>
      <c r="E6" s="93"/>
      <c r="F6" s="93"/>
      <c r="G6" s="37"/>
    </row>
    <row r="7" spans="1:6" ht="26.25" customHeight="1">
      <c r="A7" s="244" t="s">
        <v>19</v>
      </c>
      <c r="B7" s="245" t="s">
        <v>453</v>
      </c>
      <c r="C7" s="245" t="s">
        <v>454</v>
      </c>
      <c r="D7" s="245" t="s">
        <v>455</v>
      </c>
      <c r="E7" s="244" t="s">
        <v>20</v>
      </c>
      <c r="F7" s="246" t="s">
        <v>21</v>
      </c>
    </row>
    <row r="8" spans="2:6" ht="9" customHeight="1">
      <c r="B8" s="31"/>
      <c r="C8" s="31"/>
      <c r="E8" s="31"/>
      <c r="F8" s="64"/>
    </row>
    <row r="9" spans="1:6" ht="18.75" customHeight="1">
      <c r="A9" s="1" t="s">
        <v>278</v>
      </c>
      <c r="B9" s="160">
        <v>6965157.4</v>
      </c>
      <c r="C9" s="160">
        <v>1283622</v>
      </c>
      <c r="D9" s="160">
        <v>6866465.7</v>
      </c>
      <c r="E9" s="161">
        <f>SUM(B9:D9)</f>
        <v>15115245.100000001</v>
      </c>
      <c r="F9" s="172">
        <f>(E9/$E$12)*100</f>
        <v>98.40045835863344</v>
      </c>
    </row>
    <row r="10" spans="1:6" ht="18.75" customHeight="1">
      <c r="A10" s="5" t="s">
        <v>67</v>
      </c>
      <c r="B10" s="160">
        <v>78377.39</v>
      </c>
      <c r="C10" s="160">
        <v>88837.39</v>
      </c>
      <c r="D10" s="160">
        <v>78490.01</v>
      </c>
      <c r="E10" s="161">
        <f>SUM(B10:D10)</f>
        <v>245704.78999999998</v>
      </c>
      <c r="F10" s="172">
        <f>(E10/$E$12)*100</f>
        <v>1.5995416413665544</v>
      </c>
    </row>
    <row r="11" spans="1:6" ht="9" customHeight="1">
      <c r="A11" s="5"/>
      <c r="B11" s="160"/>
      <c r="C11" s="160"/>
      <c r="D11" s="160"/>
      <c r="E11" s="160"/>
      <c r="F11" s="172"/>
    </row>
    <row r="12" spans="1:6" ht="12.75" customHeight="1" thickBot="1">
      <c r="A12" s="2" t="s">
        <v>111</v>
      </c>
      <c r="B12" s="173">
        <f>SUM(B9:B11)</f>
        <v>7043534.79</v>
      </c>
      <c r="C12" s="173">
        <f>SUM(C9:C11)</f>
        <v>1372459.39</v>
      </c>
      <c r="D12" s="173">
        <f>SUM(D9:D11)</f>
        <v>6944955.71</v>
      </c>
      <c r="E12" s="173">
        <f>SUM(E9:E11)</f>
        <v>15360949.89</v>
      </c>
      <c r="F12" s="174">
        <f>SUM(F9:F11)</f>
        <v>100</v>
      </c>
    </row>
    <row r="13" ht="13.5" thickTop="1"/>
    <row r="15" ht="12.75">
      <c r="D15" s="39"/>
    </row>
  </sheetData>
  <mergeCells count="5">
    <mergeCell ref="A5:F5"/>
    <mergeCell ref="E1:F1"/>
    <mergeCell ref="A2:F2"/>
    <mergeCell ref="A3:F3"/>
    <mergeCell ref="A4:F4"/>
  </mergeCells>
  <printOptions/>
  <pageMargins left="0.9448818897637796" right="0.8267716535433072" top="0.7874015748031497" bottom="0.7874015748031497" header="0" footer="0.39370078740157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Autonoma de Sin.</dc:creator>
  <cp:keywords/>
  <dc:description/>
  <cp:lastModifiedBy>MARIO ANTONIO CAMPOS SEPULVEDA</cp:lastModifiedBy>
  <cp:lastPrinted>2010-05-07T19:37:34Z</cp:lastPrinted>
  <dcterms:created xsi:type="dcterms:W3CDTF">2003-01-28T22:37:29Z</dcterms:created>
  <dcterms:modified xsi:type="dcterms:W3CDTF">2010-05-07T19:53:15Z</dcterms:modified>
  <cp:category/>
  <cp:version/>
  <cp:contentType/>
  <cp:contentStatus/>
</cp:coreProperties>
</file>