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5" windowWidth="11580" windowHeight="6810" tabRatio="954" firstSheet="1" activeTab="17"/>
  </bookViews>
  <sheets>
    <sheet name="Flujo" sheetId="1" r:id="rId1"/>
    <sheet name="Sub" sheetId="2" r:id="rId2"/>
    <sheet name="I.Sub" sheetId="3" r:id="rId3"/>
    <sheet name="A.Sub " sheetId="4" r:id="rId4"/>
    <sheet name="Ing.Prop" sheetId="5" r:id="rId5"/>
    <sheet name="O.Ing.Prop" sheetId="6" r:id="rId6"/>
    <sheet name="O.Ing" sheetId="7" r:id="rId7"/>
    <sheet name="Proy.Esp" sheetId="8" r:id="rId8"/>
    <sheet name="Serv.Per" sheetId="9" r:id="rId9"/>
    <sheet name="Mat.Cons" sheetId="10" r:id="rId10"/>
    <sheet name="Serv.Grals" sheetId="11" r:id="rId11"/>
    <sheet name="Gto.Comp" sheetId="12" r:id="rId12"/>
    <sheet name="G.C.Op" sheetId="13" r:id="rId13"/>
    <sheet name="G.C.Viat" sheetId="14" r:id="rId14"/>
    <sheet name="G.C.Ing.Prop" sheetId="15" r:id="rId15"/>
    <sheet name="G.C.Donat" sheetId="16" r:id="rId16"/>
    <sheet name="G.C.Etiq" sheetId="17" r:id="rId17"/>
    <sheet name="Bancos Octubre" sheetId="18" r:id="rId18"/>
  </sheets>
  <definedNames>
    <definedName name="_xlnm.Print_Area" localSheetId="0">'Flujo'!$A$1:$H$53</definedName>
    <definedName name="_xlnm.Print_Area" localSheetId="12">'G.C.Op'!$A$1:$F$90</definedName>
    <definedName name="_xlnm.Print_Area" localSheetId="11">'Gto.Comp'!$A$1:$G$51</definedName>
    <definedName name="_xlnm.Print_Area" localSheetId="4">'Ing.Prop'!$A$1:$G$51</definedName>
    <definedName name="_xlnm.Print_Area" localSheetId="6">'O.Ing'!$A$1:$G$52</definedName>
    <definedName name="_xlnm.Print_Area" localSheetId="8">'Serv.Per'!$A$1:$G$101</definedName>
    <definedName name="_xlnm.Print_Titles" localSheetId="3">'A.Sub '!$1:$10</definedName>
    <definedName name="_xlnm.Print_Titles" localSheetId="17">'Bancos Octubre'!$1:$7</definedName>
    <definedName name="_xlnm.Print_Titles" localSheetId="14">'G.C.Ing.Prop'!$1:$8</definedName>
    <definedName name="_xlnm.Print_Titles" localSheetId="12">'G.C.Op'!$1:$8</definedName>
    <definedName name="_xlnm.Print_Titles" localSheetId="13">'G.C.Viat'!$1:$8</definedName>
    <definedName name="_xlnm.Print_Titles" localSheetId="8">'Serv.Per'!$1:$8</definedName>
  </definedNames>
  <calcPr fullCalcOnLoad="1"/>
</workbook>
</file>

<file path=xl/sharedStrings.xml><?xml version="1.0" encoding="utf-8"?>
<sst xmlns="http://schemas.openxmlformats.org/spreadsheetml/2006/main" count="888" uniqueCount="566">
  <si>
    <t>C   O   N   C   E   P   T   O</t>
  </si>
  <si>
    <t>IMPORTE</t>
  </si>
  <si>
    <t>SUBSIDIOS</t>
  </si>
  <si>
    <t>Anexo I</t>
  </si>
  <si>
    <t>INGRESOS PROPIOS</t>
  </si>
  <si>
    <t>Anexo II</t>
  </si>
  <si>
    <t>OTROS TIPOS DE INGRESOS PROPIOS</t>
  </si>
  <si>
    <t>Anexo III</t>
  </si>
  <si>
    <t>Anexo IV</t>
  </si>
  <si>
    <t>OTROS INGRESOS</t>
  </si>
  <si>
    <t>Anexo V</t>
  </si>
  <si>
    <t xml:space="preserve">SERVICIOS PERSONALES </t>
  </si>
  <si>
    <t>Anexo VI</t>
  </si>
  <si>
    <t>MATERIALES DE CONSUMO</t>
  </si>
  <si>
    <t>Anexo VII</t>
  </si>
  <si>
    <t>SERVICIOS GENERALES</t>
  </si>
  <si>
    <t>Anexo VIII</t>
  </si>
  <si>
    <t>GASTOS A COMPROBAR</t>
  </si>
  <si>
    <t>Anexo IX</t>
  </si>
  <si>
    <t xml:space="preserve">S   u   b   c   u   e   n   t   a    </t>
  </si>
  <si>
    <t>Total</t>
  </si>
  <si>
    <t>%</t>
  </si>
  <si>
    <t>Subsidio Federal Ordinario</t>
  </si>
  <si>
    <t>1)</t>
  </si>
  <si>
    <t>2)</t>
  </si>
  <si>
    <t>Total Subsidios Federales</t>
  </si>
  <si>
    <t>Subsidio Estatal Ordinario</t>
  </si>
  <si>
    <t>3)</t>
  </si>
  <si>
    <t>Total Subsidios Estatales</t>
  </si>
  <si>
    <t>Notas:</t>
  </si>
  <si>
    <t>Anexo I-1</t>
  </si>
  <si>
    <t xml:space="preserve">Fecha </t>
  </si>
  <si>
    <t xml:space="preserve">Subsidio </t>
  </si>
  <si>
    <t>Subsidio</t>
  </si>
  <si>
    <t>de</t>
  </si>
  <si>
    <t>Inscripciones</t>
  </si>
  <si>
    <t>Pre-inscripciones</t>
  </si>
  <si>
    <t>Cuotas colegiaturas</t>
  </si>
  <si>
    <t xml:space="preserve">Cuotas laboratorio </t>
  </si>
  <si>
    <t>Cuotas deporte</t>
  </si>
  <si>
    <t xml:space="preserve">Varios </t>
  </si>
  <si>
    <t>Exámenes</t>
  </si>
  <si>
    <t xml:space="preserve">Constancias </t>
  </si>
  <si>
    <t>Certificados</t>
  </si>
  <si>
    <t>Validación</t>
  </si>
  <si>
    <t>Registro en libro de egresados</t>
  </si>
  <si>
    <t>Ingresos por clasificar</t>
  </si>
  <si>
    <t>Fideicomiso PROMEP 2001</t>
  </si>
  <si>
    <t>Intereses normales</t>
  </si>
  <si>
    <t>Total Ingresos Propios</t>
  </si>
  <si>
    <t>Cuotas varias</t>
  </si>
  <si>
    <t>Cambios y bajas de escuela</t>
  </si>
  <si>
    <t>Donativos en custodia</t>
  </si>
  <si>
    <t>Proyectos especiales</t>
  </si>
  <si>
    <t>Diversos</t>
  </si>
  <si>
    <t>Nota:</t>
  </si>
  <si>
    <t>Sueldos</t>
  </si>
  <si>
    <t>Ayuda transporte preescolar</t>
  </si>
  <si>
    <t>Ayuda para gastos de defunción</t>
  </si>
  <si>
    <t>Ayuda para gastos médicos</t>
  </si>
  <si>
    <t>Ayuda para gastos dentales</t>
  </si>
  <si>
    <t>Ayuda para gastos ortopédicos</t>
  </si>
  <si>
    <t>Ayuda para anteojos</t>
  </si>
  <si>
    <t>Apoyo cartera deporte sindical</t>
  </si>
  <si>
    <t>Formación de personal</t>
  </si>
  <si>
    <t>FONACOT</t>
  </si>
  <si>
    <t>Combustibles, lubricantes y aditivos</t>
  </si>
  <si>
    <t>Energía eléctrica</t>
  </si>
  <si>
    <t>Agua potable</t>
  </si>
  <si>
    <t>Teléfono</t>
  </si>
  <si>
    <t>Arrendamiento de inmuebles</t>
  </si>
  <si>
    <t>Impresiones</t>
  </si>
  <si>
    <t>Viáticos operativo</t>
  </si>
  <si>
    <t>Honorarios profesionales</t>
  </si>
  <si>
    <t>Alimentación administración general</t>
  </si>
  <si>
    <t>Exoneraciones por prestaciones</t>
  </si>
  <si>
    <t>Apoyos económicos</t>
  </si>
  <si>
    <t>Rectoría</t>
  </si>
  <si>
    <t>Contraloría General</t>
  </si>
  <si>
    <t>Contraloría Académica</t>
  </si>
  <si>
    <t>Dirección General de Deportes</t>
  </si>
  <si>
    <t>Dirección General de Bibliotecas</t>
  </si>
  <si>
    <t>Dirección de Radio UAS</t>
  </si>
  <si>
    <t>Departamento de Sueldos y Salarios</t>
  </si>
  <si>
    <t>Departamento de Contabilidad General</t>
  </si>
  <si>
    <t>Fundación UAS</t>
  </si>
  <si>
    <t>Escuela de Biología Culiacán</t>
  </si>
  <si>
    <t>Facultad de Contaduría y Admón. Culiacán</t>
  </si>
  <si>
    <t>Facultad de Historia</t>
  </si>
  <si>
    <t>Torre Académica Culiacán</t>
  </si>
  <si>
    <t>Escuela de Ingeniería Mazatlán</t>
  </si>
  <si>
    <t>Coord. General de PROMEP</t>
  </si>
  <si>
    <t>Facultad de Agronomía</t>
  </si>
  <si>
    <t>Facultad de Ciencias del Mar</t>
  </si>
  <si>
    <t>Escuela Preparatoria Emiliano Zapata</t>
  </si>
  <si>
    <t>Escuela Preparatoria Navolato</t>
  </si>
  <si>
    <t>Coord. Universitaria del Hospital Civil</t>
  </si>
  <si>
    <t>Escuela de Turismo Mazatlán</t>
  </si>
  <si>
    <t>Escuela Preparatoria Carlos Marx</t>
  </si>
  <si>
    <t>Escuela Preparatoria Central Nocturna</t>
  </si>
  <si>
    <t>Escuela Preparatoria Sandino</t>
  </si>
  <si>
    <t>Escuela Preparatoria Victoria del Pueblo</t>
  </si>
  <si>
    <t>Escuela Preparatoria El Fuerte</t>
  </si>
  <si>
    <t>Escuela Preparatoria Los Mochis</t>
  </si>
  <si>
    <t>Escuela Preparatoria Angostura</t>
  </si>
  <si>
    <t>Escuela Preparatoria Rubén Jaramillo</t>
  </si>
  <si>
    <t>Cuenta</t>
  </si>
  <si>
    <t>T o t a l</t>
  </si>
  <si>
    <t>Control</t>
  </si>
  <si>
    <t>205366-0</t>
  </si>
  <si>
    <t>8675074-4</t>
  </si>
  <si>
    <t>1018205-3</t>
  </si>
  <si>
    <t>5300-15064-1</t>
  </si>
  <si>
    <t>Fideicomiso PROMEP-2001</t>
  </si>
  <si>
    <t>100337-0</t>
  </si>
  <si>
    <t>PC-083/95</t>
  </si>
  <si>
    <t>Total General</t>
  </si>
  <si>
    <t xml:space="preserve">                        </t>
  </si>
  <si>
    <t>Escuela Preparatoria Antonio Rosales</t>
  </si>
  <si>
    <t>SALDO FINAL EN BANCOS</t>
  </si>
  <si>
    <t>SALDO INICIAL EN BANCOS</t>
  </si>
  <si>
    <t>Atención y servicios de oficina</t>
  </si>
  <si>
    <t>Banorte</t>
  </si>
  <si>
    <t>Departamento de Auditoría Interna</t>
  </si>
  <si>
    <t>Escuela Preparatoria La Cruz</t>
  </si>
  <si>
    <t>Telefonía celular</t>
  </si>
  <si>
    <t>Anexo IV-1</t>
  </si>
  <si>
    <t>Anexo VIII-1</t>
  </si>
  <si>
    <t>Anexo VIII-2</t>
  </si>
  <si>
    <t>Anexo VIII-3</t>
  </si>
  <si>
    <t>Anexo VIII-4</t>
  </si>
  <si>
    <t>Anexo VIII-5</t>
  </si>
  <si>
    <t>Banco</t>
  </si>
  <si>
    <t>Partidas por comprobar viáticos</t>
  </si>
  <si>
    <t>Partidas por comprobar donativos</t>
  </si>
  <si>
    <t>Proyectos Especiales</t>
  </si>
  <si>
    <t>Escuela Preparatoria Heraclio Bernal</t>
  </si>
  <si>
    <t>Escuela Preparatoria Hnos. Flores Magon</t>
  </si>
  <si>
    <t>Departamento de Prestaciones Sociales</t>
  </si>
  <si>
    <t>Departamento Centro de Instrumentos</t>
  </si>
  <si>
    <t>Seguro de vida</t>
  </si>
  <si>
    <t>Coordinación General Zona Sur</t>
  </si>
  <si>
    <t>Total  Caja y Bancos</t>
  </si>
  <si>
    <t>Recepción</t>
  </si>
  <si>
    <t>Federal</t>
  </si>
  <si>
    <t>Ordinario</t>
  </si>
  <si>
    <t>Estatal</t>
  </si>
  <si>
    <t>Depositado</t>
  </si>
  <si>
    <t>Dirección General de Escuelas Preparatorias</t>
  </si>
  <si>
    <t>Dirección de Asuntos Jurídicos</t>
  </si>
  <si>
    <t>Dirección de Informática</t>
  </si>
  <si>
    <t>Dirección de Editorial</t>
  </si>
  <si>
    <t>Departamento de Personal</t>
  </si>
  <si>
    <t>Coordinación General Zona Norte</t>
  </si>
  <si>
    <t>Coordinación Operativa del SIIA</t>
  </si>
  <si>
    <t>Escuela Preparatoria Guasave Diurna</t>
  </si>
  <si>
    <t>Escuela Preparatoria Lázaro Cárdenas</t>
  </si>
  <si>
    <t>Escuela Preparatoria Mazatlán</t>
  </si>
  <si>
    <t>UAS Gasto Operativo</t>
  </si>
  <si>
    <t>Coord. General de Investigación y Posgrado</t>
  </si>
  <si>
    <t>Inversión Creciente (Inversiones)</t>
  </si>
  <si>
    <t>Total de Inversiones Disponibles</t>
  </si>
  <si>
    <t>Recursos en Fideicomisos y Cuentas para Proyectos Específicos</t>
  </si>
  <si>
    <t>UAS Proyectos Diversos (Dlls.)</t>
  </si>
  <si>
    <t>Total de Recursos en Fideicomisos</t>
  </si>
  <si>
    <t xml:space="preserve">T o t a l </t>
  </si>
  <si>
    <t>Total Ingresos por Subsidios</t>
  </si>
  <si>
    <t xml:space="preserve">Título en cuero </t>
  </si>
  <si>
    <t>Trámite de cédula profesional</t>
  </si>
  <si>
    <t>Intereses Ganados</t>
  </si>
  <si>
    <t>Prima de antigüedad por jubilación</t>
  </si>
  <si>
    <t>Secretaría General</t>
  </si>
  <si>
    <t>Inversiones Disponibles</t>
  </si>
  <si>
    <t>Nombre  de  la  Cuenta</t>
  </si>
  <si>
    <t>Partidas por comprobar gasto operativo</t>
  </si>
  <si>
    <t>Partidas por comprobar gasto etiquetado</t>
  </si>
  <si>
    <t>Dirección General de Recursos Humanos</t>
  </si>
  <si>
    <t>Coord. General de Planeación y Desarrollo</t>
  </si>
  <si>
    <t>Dirección de Intercambio y Vinc. Académica</t>
  </si>
  <si>
    <t>Dirección de Comunicación Social</t>
  </si>
  <si>
    <t>Dirección de Construcción y Mantenimiento</t>
  </si>
  <si>
    <t>Facultad de Ciencias Químico Biológicas</t>
  </si>
  <si>
    <t>Escuela Preparatoria Concordia</t>
  </si>
  <si>
    <t>Escuela de Ciencias Económicas y Admvas.</t>
  </si>
  <si>
    <t>Escuela de Derecho Mazatlán</t>
  </si>
  <si>
    <t>Coordinación Universitaria del Hospital Civil</t>
  </si>
  <si>
    <t>Santander Serfin</t>
  </si>
  <si>
    <t>BBVA Bancomer</t>
  </si>
  <si>
    <t>HSBC</t>
  </si>
  <si>
    <t>Banamex</t>
  </si>
  <si>
    <t>Scotiabank Inverlat</t>
  </si>
  <si>
    <t>UAS Control</t>
  </si>
  <si>
    <t>UAS Colegiatura Ingresos Propios</t>
  </si>
  <si>
    <t>Escuela de Ciencias Computacionales</t>
  </si>
  <si>
    <t>00176690748</t>
  </si>
  <si>
    <t>Departamento de Archivo General</t>
  </si>
  <si>
    <t>Escuela Preparatoria Genaro Vázquez Rojas</t>
  </si>
  <si>
    <t>Centro de Idiomas Culiacán</t>
  </si>
  <si>
    <t>Coordinación General Zona Centro Norte</t>
  </si>
  <si>
    <t>Escuela Preparatoria San Blas</t>
  </si>
  <si>
    <t>Coord. General de Acceso a la Información Pública</t>
  </si>
  <si>
    <t>Escuela Preparatoria La Reforma</t>
  </si>
  <si>
    <t>Escuela de Derecho Guasave</t>
  </si>
  <si>
    <t>Seguridad para resguardo de valores</t>
  </si>
  <si>
    <t>Retenciones por Pagar</t>
  </si>
  <si>
    <t>Reposición de cheques de caja cta. puente</t>
  </si>
  <si>
    <t>Fondo alternativo</t>
  </si>
  <si>
    <t>Fondo revolvente</t>
  </si>
  <si>
    <t>Reposición de Cheques de Caja cta. puente</t>
  </si>
  <si>
    <t>UAS Inversiones</t>
  </si>
  <si>
    <t>UAS Ingresos Caja General</t>
  </si>
  <si>
    <t>Subtotal Ingresos Propios</t>
  </si>
  <si>
    <t>Total Intereses Generados</t>
  </si>
  <si>
    <t>Subtotal Servicios Personales</t>
  </si>
  <si>
    <t>Total Servicios Personales</t>
  </si>
  <si>
    <t>Caja General</t>
  </si>
  <si>
    <t>Dirección de Servicio Social Universitario</t>
  </si>
  <si>
    <t>Coordinación General de PROMEP</t>
  </si>
  <si>
    <t>Facultad de Medicina de Culiacán</t>
  </si>
  <si>
    <t>Facultad de Medicina Veterinaria y Zootecnia</t>
  </si>
  <si>
    <t>Facultad de Ingeniería Culiacán</t>
  </si>
  <si>
    <t>Facultad de Ciencias Sociales Mazatlán</t>
  </si>
  <si>
    <t>Escuela Preparatoria Víctor Manuel Tirado L.</t>
  </si>
  <si>
    <t>Centro de Idiomas Los Mochis</t>
  </si>
  <si>
    <t>Centro de Idiomas Guasave</t>
  </si>
  <si>
    <t>Centro de Idiomas Mazatlán</t>
  </si>
  <si>
    <t>Escuela de Música</t>
  </si>
  <si>
    <t>Comisiones bancarias</t>
  </si>
  <si>
    <t>Estacionamientos</t>
  </si>
  <si>
    <t>Anticipo a cuenta de aguinaldo</t>
  </si>
  <si>
    <t>Embargo judicial</t>
  </si>
  <si>
    <t>Descuentos bancos</t>
  </si>
  <si>
    <t>Bonos (Material didáctico por documentar)</t>
  </si>
  <si>
    <t>Impuestos por Pagar</t>
  </si>
  <si>
    <t>Proyectos Diversos</t>
  </si>
  <si>
    <t>Entrega de donativos en custodia efectivo</t>
  </si>
  <si>
    <t>Antigüedad</t>
  </si>
  <si>
    <t>ISR</t>
  </si>
  <si>
    <t>ISR ret. 10%</t>
  </si>
  <si>
    <t>IVA ret. 10%</t>
  </si>
  <si>
    <t xml:space="preserve">Cuentas de Cheques     </t>
  </si>
  <si>
    <t>4)</t>
  </si>
  <si>
    <t>5)</t>
  </si>
  <si>
    <t>65501752447</t>
  </si>
  <si>
    <t>NUMERO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</si>
  <si>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</si>
  <si>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</si>
  <si>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</si>
  <si>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</si>
  <si>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</si>
  <si>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</si>
  <si>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</si>
  <si>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</si>
  <si>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</si>
  <si>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CUENTAS POR COBRAR</t>
  </si>
  <si>
    <t>CUENTAS POR PAGAR</t>
  </si>
  <si>
    <t>ADQUISICIONES Y OTROS</t>
  </si>
  <si>
    <t>Subtotal cuentas por pagar</t>
  </si>
  <si>
    <t>Subtotal por traspasos bancarios</t>
  </si>
  <si>
    <t>Subtotal cuentas por cobrar</t>
  </si>
  <si>
    <t>Alimentación (casas asistenciales)</t>
  </si>
  <si>
    <t>Devolución de ingresos institucionales</t>
  </si>
  <si>
    <t>Dirección de Control de Bienes e Inventarios</t>
  </si>
  <si>
    <t>Escuela Preparatoria Central Diurna</t>
  </si>
  <si>
    <t>UAS Colegiaturas La Cruz</t>
  </si>
  <si>
    <t>Exoneraciones por apoyos</t>
  </si>
  <si>
    <t>Coord. General Zona Centro B</t>
  </si>
  <si>
    <t>Fideicomiso Fondo de Equidad 2005</t>
  </si>
  <si>
    <t>Fideicomiso PIFI  3.2</t>
  </si>
  <si>
    <t>2000923-000</t>
  </si>
  <si>
    <t>2000924-000</t>
  </si>
  <si>
    <t>Publicaciones</t>
  </si>
  <si>
    <t>Escuela Preparatoria Guamúchil</t>
  </si>
  <si>
    <t>Escuela de Idiomas Guamúchil</t>
  </si>
  <si>
    <t>Jardín de Niños</t>
  </si>
  <si>
    <t>Difusión</t>
  </si>
  <si>
    <t>Liquidación por renuncia voluntaria</t>
  </si>
  <si>
    <t>Cuota alberca olímpica</t>
  </si>
  <si>
    <t>MAS:</t>
  </si>
  <si>
    <t>INGRESOS DEL PERIODO:</t>
  </si>
  <si>
    <t>MENOS:</t>
  </si>
  <si>
    <t>EGRESOS DEL PERIODO:</t>
  </si>
  <si>
    <t>$</t>
  </si>
  <si>
    <t>UNIVERSIDAD AUTONOMA DE SINALOA</t>
  </si>
  <si>
    <t>RELACION DE INGRESOS POR SUBSIDIOS</t>
  </si>
  <si>
    <t>ANALISIS DE INGRESOS POR SUBSIDIOS</t>
  </si>
  <si>
    <t>RELACION DE INGRESOS PROPIOS</t>
  </si>
  <si>
    <t>RELACION DE OTROS TIPOS DE INGRESOS PROPIOS</t>
  </si>
  <si>
    <t>RELACION DE OTROS INGRESOS</t>
  </si>
  <si>
    <t>ANALISIS DE INGRESOS POR PROYECTOS ESPECIALES</t>
  </si>
  <si>
    <t>RELACION DE PAGOS POR SERVICIOS PERSONALES</t>
  </si>
  <si>
    <t>RELACION DE PAGOS POR MATERIALES DE CONSUMO</t>
  </si>
  <si>
    <t>RELACION DE PAGOS POR SERVICIOS GENERALES</t>
  </si>
  <si>
    <t>RELACION DE PARTIDAS POR COMPROBAR GASTO OPERATIVO</t>
  </si>
  <si>
    <t>RELACION DE PARTIDAS POR COMPROBAR VIATICOS</t>
  </si>
  <si>
    <t>RELACION DE PARTIDAS POR COMPROBAR A CUENTA DE INGRESOS PROPIOS</t>
  </si>
  <si>
    <t>RELACION DE PARTIDAS POR COMPROBAR DONATIVOS</t>
  </si>
  <si>
    <t>RELACION DE PARTIDAS POR COMPROBAR GASTO ETIQUETADO</t>
  </si>
  <si>
    <t>Escuela de Artes Plásticas</t>
  </si>
  <si>
    <t>Becas a estudiantes</t>
  </si>
  <si>
    <t>Secretaría Académica de Rectoría</t>
  </si>
  <si>
    <t>Servicios varios</t>
  </si>
  <si>
    <t>Específico</t>
  </si>
  <si>
    <t>Subsidio Federal Específico</t>
  </si>
  <si>
    <t>Infonavit</t>
  </si>
  <si>
    <t>Retiro</t>
  </si>
  <si>
    <t>IMSS patronal</t>
  </si>
  <si>
    <t>Facultad de Informática Mazatlán</t>
  </si>
  <si>
    <t>Secretaría de Administración y Finanzas</t>
  </si>
  <si>
    <t>Evento académico</t>
  </si>
  <si>
    <t>100957-1</t>
  </si>
  <si>
    <t>6150-01-85</t>
  </si>
  <si>
    <t>Incapacidades</t>
  </si>
  <si>
    <t>Fideicomiso PIFI 2007</t>
  </si>
  <si>
    <t>Unidad Académica de Negocios</t>
  </si>
  <si>
    <t>Inversión Creciente (Ingresos especiales)</t>
  </si>
  <si>
    <t>Igualas fideicomiso jubilación</t>
  </si>
  <si>
    <t>Aportación al fideicomiso para la jubilación dinámica</t>
  </si>
  <si>
    <t>Extraordinario</t>
  </si>
  <si>
    <t>Subsidio Federal Extraordinario</t>
  </si>
  <si>
    <t>Escuela Superior de Enfermería Mazatlán</t>
  </si>
  <si>
    <t>Escuela Preparatoria Guasave Nocturna</t>
  </si>
  <si>
    <t>Fideicomiso Prima de Antig.x Jubilación</t>
  </si>
  <si>
    <t>Fideicomiso Primas de Antigüedad por Jubilación</t>
  </si>
  <si>
    <t>2001429-000</t>
  </si>
  <si>
    <t>Análisis y diagnóstico de laboratorio</t>
  </si>
  <si>
    <t>Dirección del Sistema de Gestión de la Calidad</t>
  </si>
  <si>
    <t>2001449-001</t>
  </si>
  <si>
    <t>Fideicomiso Gasto de Operación</t>
  </si>
  <si>
    <t>Dirección de Imprenta Universitaria</t>
  </si>
  <si>
    <t>Indemnizaciones</t>
  </si>
  <si>
    <t>Fideicomiso Gastos de Administración</t>
  </si>
  <si>
    <t>6)</t>
  </si>
  <si>
    <t>Cambios bancarios</t>
  </si>
  <si>
    <t>F-403337-9</t>
  </si>
  <si>
    <t>Facultad de Ciencias de la Educación</t>
  </si>
  <si>
    <t>Escuela Preparatoria Semiescolarizada</t>
  </si>
  <si>
    <t xml:space="preserve">Provisiones Fideicomiso para la Jubilación </t>
  </si>
  <si>
    <t xml:space="preserve">Rendimientos Fideicomiso para la Jubilación </t>
  </si>
  <si>
    <t xml:space="preserve">Comisiones Fideicomiso para la Jubilación </t>
  </si>
  <si>
    <t>Facultad de Ciencias Económicas y Sociales</t>
  </si>
  <si>
    <t>Cuenta Puente Fideicomiso F-403337-9</t>
  </si>
  <si>
    <t>Equipo de transporte</t>
  </si>
  <si>
    <t>Mobiliario y equipo</t>
  </si>
  <si>
    <t>Seguro de vida académicos</t>
  </si>
  <si>
    <t>Facultad de Ingeniería Los Mochis</t>
  </si>
  <si>
    <t>Facultad de Medicina</t>
  </si>
  <si>
    <t>Secretaría Administrativa</t>
  </si>
  <si>
    <t>Dirección Académico Legal</t>
  </si>
  <si>
    <t>Dirección General de Servicios Escolares</t>
  </si>
  <si>
    <t>Coord. General de Extensión Cultural y los Servicios</t>
  </si>
  <si>
    <t>Dir.de Servicios Asistenciales Estudiantiles Zona Centro</t>
  </si>
  <si>
    <t>Facultad de Odontología</t>
  </si>
  <si>
    <t>Facultad de Trabajo Social</t>
  </si>
  <si>
    <t>Escuela Superior de Enfermería Mochis</t>
  </si>
  <si>
    <t>Facultad de Trabajo Social Los Mochis</t>
  </si>
  <si>
    <t>Facultad de Trabajo Social Mazatlán</t>
  </si>
  <si>
    <t>Facultad de Psicología</t>
  </si>
  <si>
    <t>Facultad de Derecho Culiacán</t>
  </si>
  <si>
    <t>Escuela Superior de Educación Física</t>
  </si>
  <si>
    <t>Facultad de Informática Culiacán</t>
  </si>
  <si>
    <t>Facultad de Derecho y Ciencia Política</t>
  </si>
  <si>
    <t>Escuela de Ingeniería Mochis</t>
  </si>
  <si>
    <t>Escuela Preparatoria Valle del Carrizo</t>
  </si>
  <si>
    <t>Escuela Preparatoria Casa Blanca</t>
  </si>
  <si>
    <t>00613852041</t>
  </si>
  <si>
    <t>00613852023</t>
  </si>
  <si>
    <t>Escuela Preparatoria Choix</t>
  </si>
  <si>
    <t>Centro de Idiomas Navolato</t>
  </si>
  <si>
    <t>Facultad de Arquitectura Culiacán</t>
  </si>
  <si>
    <t>Artículos de promociones universitarias</t>
  </si>
  <si>
    <t>Escuela de Ciencias de la Tierra</t>
  </si>
  <si>
    <t>RELACION DE PARTIDAS POR COMPROBAR</t>
  </si>
  <si>
    <t>Depto.de Control de Becas al Desempeño Académico</t>
  </si>
  <si>
    <t>SUNTUAS Administrativo</t>
  </si>
  <si>
    <t>Escuela Preparatoria Vladimir I. Lenin</t>
  </si>
  <si>
    <t>Aguinaldo</t>
  </si>
  <si>
    <t>Donativos</t>
  </si>
  <si>
    <t>Cooperaciones varias</t>
  </si>
  <si>
    <t>Fideicomiso FAM 2009</t>
  </si>
  <si>
    <t>2001700-001</t>
  </si>
  <si>
    <t>Escuela Preparatoria Escuinapa</t>
  </si>
  <si>
    <t>Iguala por cuotas sindicales</t>
  </si>
  <si>
    <t>Anticipo de descuentos retenidos</t>
  </si>
  <si>
    <t>Evento social</t>
  </si>
  <si>
    <t>Coordinación General de Centros de Idiomas</t>
  </si>
  <si>
    <t>Contraloría Estudiantil</t>
  </si>
  <si>
    <t>Dirección de Actividades Artísticas</t>
  </si>
  <si>
    <t>Fideicomiso PIFI FOMES 2008</t>
  </si>
  <si>
    <t>Fideicomiso PIFI FIUPEA 2009</t>
  </si>
  <si>
    <t>Fideicomiso PIFI FOMES 2009</t>
  </si>
  <si>
    <t>UAS FAFEF 2008</t>
  </si>
  <si>
    <t>Banco del Bajío</t>
  </si>
  <si>
    <t>Fideicomiso UAS Minera Cosalá</t>
  </si>
  <si>
    <t>Subtotal adquisiciones y otros</t>
  </si>
  <si>
    <t>TRASPASOS BANCARIOS</t>
  </si>
  <si>
    <t>Souvenirs, uniformes y artículos varios</t>
  </si>
  <si>
    <t>Ayuda para educación</t>
  </si>
  <si>
    <t>Carta de pasante en cuero</t>
  </si>
  <si>
    <t>Escuela de Ciencias Físico Matemáticas</t>
  </si>
  <si>
    <t>Escuela de Filosofía y Letras</t>
  </si>
  <si>
    <t>UAS FAFEF 2010</t>
  </si>
  <si>
    <t>UAS Ingresos referenciados</t>
  </si>
  <si>
    <t>Dirección de Promoción Financiera</t>
  </si>
  <si>
    <t>Representación de la UAS en México</t>
  </si>
  <si>
    <t>Fideicomiso PIFI FIUPEA 2008</t>
  </si>
  <si>
    <t>SECRETARIA DE ADMINISTRACION Y FINANZAS</t>
  </si>
  <si>
    <t>DE ANEXO</t>
  </si>
  <si>
    <t xml:space="preserve">NOTA: </t>
  </si>
  <si>
    <t xml:space="preserve">S   u   b   c   u   e   n   t   a </t>
  </si>
  <si>
    <t>Expedición y reposición de credencial</t>
  </si>
  <si>
    <t>Asesorías</t>
  </si>
  <si>
    <t>Semillas y Agroproductos Monsanto, S.A. de C.V.</t>
  </si>
  <si>
    <t>Cesantía y vejez</t>
  </si>
  <si>
    <t xml:space="preserve">Escuela Preparatoria 8 de Julio </t>
  </si>
  <si>
    <t>*Apertura de Cuenta y Fideicomiso para la Jubilación de Trabs. Acads.  y Admvos. (23 Abril de 2008)</t>
  </si>
  <si>
    <t>Acreedores Diversos</t>
  </si>
  <si>
    <t>Subtotal cuentas por cobrar, adquisiciones y otros</t>
  </si>
  <si>
    <t>Fideicomiso p/la Jubilación de Trab. Acad. y Admvos.</t>
  </si>
  <si>
    <t>ESTADO DE FLUJO DE EFECTIVO POR EL PERIODO COMPRENDIDO</t>
  </si>
  <si>
    <t>Inversiones UAS Minera de Cosalá</t>
  </si>
  <si>
    <t>Unidad Académica de Nutrición y Gastronomía</t>
  </si>
  <si>
    <t>Escuela Superior de Enfermería Culiacán</t>
  </si>
  <si>
    <t>Casa de la Cultura CEUDIC</t>
  </si>
  <si>
    <t>UAS Consolidación 2010</t>
  </si>
  <si>
    <t>UAS Saneamiento 2010</t>
  </si>
  <si>
    <t>Seguros y fianzas</t>
  </si>
  <si>
    <t>Prima vacacional</t>
  </si>
  <si>
    <t>7)</t>
  </si>
  <si>
    <t>8)</t>
  </si>
  <si>
    <t>Fideicomiso Minera Cosalá</t>
  </si>
  <si>
    <t>PHI México, S.A. de C.V.</t>
  </si>
  <si>
    <t>Minera Cosalá, S.A. de C.V.</t>
  </si>
  <si>
    <t>Préstamos al patronato</t>
  </si>
  <si>
    <t>Cuotas sindicato</t>
  </si>
  <si>
    <t>Cuotas generales</t>
  </si>
  <si>
    <t>Subtotal</t>
  </si>
  <si>
    <r>
      <t xml:space="preserve">Nota: </t>
    </r>
    <r>
      <rPr>
        <sz val="9"/>
        <rFont val="Arial"/>
        <family val="2"/>
      </rPr>
      <t xml:space="preserve">  </t>
    </r>
  </si>
  <si>
    <r>
      <t>1)</t>
    </r>
    <r>
      <rPr>
        <sz val="9"/>
        <rFont val="Arial"/>
        <family val="2"/>
      </rPr>
      <t xml:space="preserve"> Partidas pendientes de identificar y reclasificar a la subcuenta de ingreso que correspondan. </t>
    </r>
  </si>
  <si>
    <r>
      <t>1)</t>
    </r>
    <r>
      <rPr>
        <sz val="9"/>
        <rFont val="Arial"/>
        <family val="2"/>
      </rPr>
      <t xml:space="preserve"> Se analiza detalladamente en el anexo </t>
    </r>
    <r>
      <rPr>
        <b/>
        <sz val="9"/>
        <rFont val="Arial"/>
        <family val="2"/>
      </rPr>
      <t>IV-1.</t>
    </r>
  </si>
  <si>
    <r>
      <t>SEMARNAT CONAGUA</t>
    </r>
    <r>
      <rPr>
        <sz val="10"/>
        <rFont val="Arial"/>
        <family val="2"/>
      </rPr>
      <t xml:space="preserve"> Distrito 010 Culiacán-Humaya</t>
    </r>
  </si>
  <si>
    <r>
      <t>SEMARNAT CONAGUA</t>
    </r>
    <r>
      <rPr>
        <sz val="10"/>
        <rFont val="Arial"/>
        <family val="2"/>
      </rPr>
      <t xml:space="preserve"> Distrito 108 Elota-Piaxtla</t>
    </r>
  </si>
  <si>
    <t xml:space="preserve">      Distrito de Riego 010" el cual se ampara con convenio CNA-SGOCPN-DR010-UAS/2010.</t>
  </si>
  <si>
    <t xml:space="preserve">      se ampara con convenio CNA-DGOCPN-DR108-UAS/2010.</t>
  </si>
  <si>
    <t>Excedente de ingresos y/o egresos de ejercicios anteriores</t>
  </si>
  <si>
    <r>
      <t>1)</t>
    </r>
    <r>
      <rPr>
        <sz val="8"/>
        <rFont val="Arial"/>
        <family val="2"/>
      </rPr>
      <t xml:space="preserve"> Cuentas de pasivo incluidas en la relación de pagos por servicios personales, por representar salidas de efectivo.</t>
    </r>
  </si>
  <si>
    <r>
      <t>1)</t>
    </r>
    <r>
      <rPr>
        <sz val="9"/>
        <rFont val="Arial"/>
        <family val="2"/>
      </rPr>
      <t xml:space="preserve"> Este anexo se analiza detalladamente en los anexos </t>
    </r>
    <r>
      <rPr>
        <b/>
        <sz val="9"/>
        <rFont val="Arial"/>
        <family val="2"/>
      </rPr>
      <t>VIII-1</t>
    </r>
    <r>
      <rPr>
        <sz val="9"/>
        <rFont val="Arial"/>
        <family val="2"/>
      </rPr>
      <t xml:space="preserve"> al </t>
    </r>
    <r>
      <rPr>
        <b/>
        <sz val="9"/>
        <rFont val="Arial"/>
        <family val="2"/>
      </rPr>
      <t>VIII-5.</t>
    </r>
  </si>
  <si>
    <t>Centro de Estudios Superiores Valle del Carrizo</t>
  </si>
  <si>
    <t>Escuela de Admón. Agrop. y Desarrollo Rural</t>
  </si>
  <si>
    <t>Escuela de Contabilidad y Admón. Mazatlán</t>
  </si>
  <si>
    <t>Escuela Preparatoria Dr. Salvador Allende</t>
  </si>
  <si>
    <t>Escuela Preparatoria C.U. Los Mochis</t>
  </si>
  <si>
    <t>INTEGRACION DE INGRESOS POR SUBSIDIOS</t>
  </si>
  <si>
    <t xml:space="preserve">  - Fondo para el modelo de asignación adicional al subsidio federal </t>
  </si>
  <si>
    <t xml:space="preserve">    ordinario, universidades públicas estatales (distribución por la</t>
  </si>
  <si>
    <t xml:space="preserve">    fórmula CUPIA con participación de la SEP y  la ANUIES)</t>
  </si>
  <si>
    <t>Total Subsidio Federal Ordinario</t>
  </si>
  <si>
    <t>Total Subsidio Federal Específico</t>
  </si>
  <si>
    <t xml:space="preserve"> - Subsidio federal ordinario </t>
  </si>
  <si>
    <t xml:space="preserve"> - Complemento de subsidio federal ordinario</t>
  </si>
  <si>
    <t xml:space="preserve"> - Pago de estimaciones varias de recursos FAM 2009</t>
  </si>
  <si>
    <t xml:space="preserve"> - Subsidio estatal ordinario</t>
  </si>
  <si>
    <t xml:space="preserve"> - Subsidio estatal por apoyo unilateral </t>
  </si>
  <si>
    <t xml:space="preserve"> - Subsidio estatal por saneamiento financiero UAS (FAFEF)</t>
  </si>
  <si>
    <t>Subsidios Federales</t>
  </si>
  <si>
    <t>Subsidios Estatales</t>
  </si>
  <si>
    <t>Anexo I-2</t>
  </si>
  <si>
    <t xml:space="preserve">     65501761036 de Santander Serfin.</t>
  </si>
  <si>
    <r>
      <t xml:space="preserve">1.- </t>
    </r>
    <r>
      <rPr>
        <sz val="8"/>
        <rFont val="Arial"/>
        <family val="2"/>
      </rPr>
      <t xml:space="preserve">Corresponde a recursos en efectivo bajo resguardo de Caja General, serán depositados en la cuenta de ingresos </t>
    </r>
  </si>
  <si>
    <r>
      <t xml:space="preserve">2.- </t>
    </r>
    <r>
      <rPr>
        <sz val="8"/>
        <rFont val="Arial"/>
        <family val="2"/>
      </rPr>
      <t>Cuenta bancaria de la administración 2001-2005, se encuentra bloqueada por el INFONAVIT.</t>
    </r>
  </si>
  <si>
    <r>
      <t xml:space="preserve">3.- </t>
    </r>
    <r>
      <rPr>
        <sz val="8"/>
        <rFont val="Arial"/>
        <family val="2"/>
      </rPr>
      <t xml:space="preserve">Cuentas bancarias de la administración 2005-2009, reflejan saldo negativo por elaboración y entrega de cheques  </t>
    </r>
  </si>
  <si>
    <t xml:space="preserve">      los cuales no han sido cobrados.</t>
  </si>
  <si>
    <t xml:space="preserve"> DEL 01 DE AGOSTO AL 31 DE OCTUBRE DE 2010</t>
  </si>
  <si>
    <t>Agosto</t>
  </si>
  <si>
    <t>Septiembre</t>
  </si>
  <si>
    <t>Octubre</t>
  </si>
  <si>
    <t>DEL 01 DE AGOSTO AL 31 DE OCTUBRE DE 2010</t>
  </si>
  <si>
    <t>Laboratorio de Ciencias Químicas</t>
  </si>
  <si>
    <t>Horas extras</t>
  </si>
  <si>
    <t>Estímulo al desempeño académico</t>
  </si>
  <si>
    <t>Becas</t>
  </si>
  <si>
    <t>UAS CUPIA 2010</t>
  </si>
  <si>
    <t xml:space="preserve"> - Subsidio federal por consolidación de junio 2010</t>
  </si>
  <si>
    <r>
      <t>8.</t>
    </r>
    <r>
      <rPr>
        <sz val="8"/>
        <rFont val="Arial"/>
        <family val="2"/>
      </rPr>
      <t xml:space="preserve">- Agrupa los saldos de los Fideicomisos 2000923-005, 006, 007, 008 y 009, todos corresponden al Fondo PIFI.  </t>
    </r>
  </si>
  <si>
    <r>
      <t>9.</t>
    </r>
    <r>
      <rPr>
        <sz val="8"/>
        <rFont val="Arial"/>
        <family val="2"/>
      </rPr>
      <t xml:space="preserve">- Se presenta con carácter informativo, no pertenece a la UAS.  </t>
    </r>
  </si>
  <si>
    <t>9)</t>
  </si>
  <si>
    <t xml:space="preserve">      entregan en fechas posteriores para su cobro o se procederá a su cancelación.</t>
  </si>
  <si>
    <t>Escuela Preparatoria 02 de Octubre</t>
  </si>
  <si>
    <t>Coordinación Académica Zona Sur</t>
  </si>
  <si>
    <t>Descuento por incumplimiento de becas posgrado</t>
  </si>
  <si>
    <t>Cuotas y suscripciones</t>
  </si>
  <si>
    <t>Gastos de representación</t>
  </si>
  <si>
    <t>Libros, revistas y folletos</t>
  </si>
  <si>
    <t xml:space="preserve"> - Fondo para la ampliación de la oferta educativa de nivel superior</t>
  </si>
  <si>
    <t>Evento cultural</t>
  </si>
  <si>
    <t>Acreditación y certificación</t>
  </si>
  <si>
    <t>Artículos y materiales procesamiento de datos</t>
  </si>
  <si>
    <t>Mobiliario y equipo de laboratorios y clínicas</t>
  </si>
  <si>
    <t>Anticipo a estímulo a la carrera docente</t>
  </si>
  <si>
    <t>Coord. General de Asesores</t>
  </si>
  <si>
    <t>Facultad de Contaduría y Admón. Mazatlán</t>
  </si>
  <si>
    <t>SUNTUAS Académico Centro Norte</t>
  </si>
  <si>
    <t>SALDO EN BANCOS E INVERSIONES AL 31 DE OCTUBRE DE 2010</t>
  </si>
  <si>
    <t>Ejercicio 2005</t>
  </si>
  <si>
    <t>Ejercicio 2008</t>
  </si>
  <si>
    <t>Ejercicio 2007</t>
  </si>
  <si>
    <t xml:space="preserve"> - Subsidio federal ampliación de carrera docente 2010</t>
  </si>
  <si>
    <t>Gobierno del Estado de México</t>
  </si>
  <si>
    <t>Fundación Educación Superior-Empresa, A. C.</t>
  </si>
  <si>
    <r>
      <rPr>
        <b/>
        <sz val="8"/>
        <rFont val="Arial"/>
        <family val="2"/>
      </rPr>
      <t>4)</t>
    </r>
    <r>
      <rPr>
        <sz val="8"/>
        <rFont val="Arial"/>
        <family val="2"/>
      </rPr>
      <t>.- Proyecto "Investigación y control biológico de maleza acuática en los diques del  Distrito de Riego 108"  el  cual</t>
    </r>
  </si>
  <si>
    <r>
      <t xml:space="preserve">7).- </t>
    </r>
    <r>
      <rPr>
        <sz val="8"/>
        <rFont val="Arial"/>
        <family val="2"/>
      </rPr>
      <t xml:space="preserve">Pago de indemnización por afectación minera de 144-71-82 has. Terreno propiedad de la UAS para ocupación </t>
    </r>
  </si>
  <si>
    <r>
      <t xml:space="preserve">6).- </t>
    </r>
    <r>
      <rPr>
        <sz val="8"/>
        <rFont val="Arial"/>
        <family val="2"/>
      </rPr>
      <t xml:space="preserve">Proyecto "Protocolo densidades en maíz para pacífico 01 09-10". </t>
    </r>
  </si>
  <si>
    <t xml:space="preserve">      temporal y derecho de servidumbre de paso, de la Minera Cosalá, correspondiente a los meses de Agosto,</t>
  </si>
  <si>
    <t xml:space="preserve">      Septiembre y Octubre de 2010.</t>
  </si>
  <si>
    <t xml:space="preserve">    las universidades públicas estatales y con apoyo solidario</t>
  </si>
  <si>
    <t xml:space="preserve"> - Fondo para incremento de la matrícula en educación superior de </t>
  </si>
  <si>
    <t xml:space="preserve">   públicas estatales</t>
  </si>
  <si>
    <t xml:space="preserve"> - Fondo de inversión de universidades públicas estatales</t>
  </si>
  <si>
    <t xml:space="preserve">   con evaluación de la ANUIES (FIUPEA 2010)</t>
  </si>
  <si>
    <t xml:space="preserve"> - Fondo para el reconocimiento de plantilla de las universidades</t>
  </si>
  <si>
    <t xml:space="preserve">   (FOMES 2010)</t>
  </si>
  <si>
    <t xml:space="preserve"> - Fondo para la modernización de la educación superior</t>
  </si>
  <si>
    <t xml:space="preserve">      engorda intensiva" del programa fomento a la investigación superior-empresa.</t>
  </si>
  <si>
    <t xml:space="preserve">      Proyecto "Efecto de la adición de propinato de cromo en la resp. inmune y desempeño productivo de toretes en </t>
  </si>
  <si>
    <t xml:space="preserve">      seguridad pública del estado de México en el marco del sistema nacional de seguridad pública 2009.</t>
  </si>
  <si>
    <r>
      <t xml:space="preserve">1).- </t>
    </r>
    <r>
      <rPr>
        <sz val="8"/>
        <rFont val="Arial"/>
        <family val="2"/>
      </rPr>
      <t>Aportación para la realización de evaluación de la aplicación del financiamiento del conjunto de programas de</t>
    </r>
  </si>
  <si>
    <t>Total Subsidio Federal Extraordinario</t>
  </si>
  <si>
    <t>Devolución en ctas. y gastos por comprobar</t>
  </si>
  <si>
    <r>
      <t xml:space="preserve">2).- </t>
    </r>
    <r>
      <rPr>
        <sz val="8"/>
        <rFont val="Arial"/>
        <family val="2"/>
      </rPr>
      <t>Proyecto "Pruebas de campo de fitominería para extracción de oro a nivel competitivo en Sinaloa"</t>
    </r>
  </si>
  <si>
    <r>
      <t xml:space="preserve">3).- </t>
    </r>
    <r>
      <rPr>
        <sz val="8"/>
        <rFont val="Arial"/>
        <family val="2"/>
      </rPr>
      <t xml:space="preserve">Proyecto "Investigación y control biológico de maleza acuática en los embalses y ríos del área de  influencia del  </t>
    </r>
  </si>
  <si>
    <r>
      <t xml:space="preserve">5).- </t>
    </r>
    <r>
      <rPr>
        <sz val="8"/>
        <rFont val="Arial"/>
        <family val="2"/>
      </rPr>
      <t xml:space="preserve">Proyecto "Evaluación de la eficacia de maíces transgénicos resistentes a lepidópteros y glifosato en Sinaloa". </t>
    </r>
  </si>
  <si>
    <t>Trasp. bancarios por liquidez (Sueldos)</t>
  </si>
  <si>
    <t>Trasp. bancarios por liquidez (Prog. de ret.)</t>
  </si>
  <si>
    <t>Trasp. bancarios por liquidez (Carrera docente)</t>
  </si>
  <si>
    <t>Mantenimiento equipo de transporte</t>
  </si>
  <si>
    <t>Departamento de Servicio Social Zona Norte</t>
  </si>
  <si>
    <t>Escuela de Administración Agrop. y Desarrollo Rural</t>
  </si>
  <si>
    <t>Escuela de Ciencias Económicas y Administrativas</t>
  </si>
  <si>
    <t>Escuela Prep. Escuinapa Extensión Isla del Bosque</t>
  </si>
  <si>
    <t>Escuela de Estudios Intern. y Políticas Públicas</t>
  </si>
  <si>
    <t>Esc. Superior de Agricultura del Valle del Fuerte</t>
  </si>
  <si>
    <t>Escuela Preparatoria Juan José Ríos</t>
  </si>
  <si>
    <t>Escuela Preparatoria Ruiz Cortínez</t>
  </si>
  <si>
    <t>UAS Maestría E.U.A. y Canadá (Dlls.)</t>
  </si>
  <si>
    <t xml:space="preserve"> - Fondo de apoyo para reformas estructurales de las universidades</t>
  </si>
  <si>
    <t>1) El saldo al 31 de Octubre de 2010 asciende a la cantidad de $ 247,743,337.01</t>
  </si>
  <si>
    <t>Partidas por comprobar a cuenta de ingresos propios</t>
  </si>
  <si>
    <t>Centro de Políticas de Género</t>
  </si>
  <si>
    <t>Centro de Cómputo Mazatlán</t>
  </si>
  <si>
    <t>Escuela de Admón. Agropecuaria y Desarrollo Rural</t>
  </si>
  <si>
    <t>UAS Colegiaturas El Fuerte</t>
  </si>
  <si>
    <t>UAS Fondo de Equidad 2005</t>
  </si>
  <si>
    <t>UAS Ingresos Especiales</t>
  </si>
  <si>
    <t>UAS Prima de Antigüedad por Jubilación</t>
  </si>
  <si>
    <t>UAS Control 2005</t>
  </si>
  <si>
    <t>UAS Control 2009</t>
  </si>
  <si>
    <t>Fondo de Garantía para la Vivienda</t>
  </si>
  <si>
    <t>Fideicomiso Reserva P/Problemas Estructurales</t>
  </si>
  <si>
    <r>
      <t xml:space="preserve">4.- </t>
    </r>
    <r>
      <rPr>
        <sz val="8"/>
        <rFont val="Arial"/>
        <family val="2"/>
      </rPr>
      <t xml:space="preserve">Se refleja saldo negativo por elaboración de cheques al día 31 de octubre de 2010, se encuentran en tránsito  y se </t>
    </r>
  </si>
  <si>
    <r>
      <t>5.-</t>
    </r>
    <r>
      <rPr>
        <sz val="8"/>
        <rFont val="Arial"/>
        <family val="2"/>
      </rPr>
      <t xml:space="preserve"> Cuenta en dólares americanos, equivale a $  1,345.85 dlls. al tipo de cambio de $ 12.36 pesos.</t>
    </r>
  </si>
  <si>
    <r>
      <t>6.</t>
    </r>
    <r>
      <rPr>
        <sz val="8"/>
        <rFont val="Arial"/>
        <family val="2"/>
      </rPr>
      <t xml:space="preserve">- Cuenta en dólares americanos, equivale a $ 68,422.14 dlls. al tipo de cambio de $ 12.36 pesos.  </t>
    </r>
  </si>
  <si>
    <r>
      <t>7.</t>
    </r>
    <r>
      <rPr>
        <sz val="8"/>
        <rFont val="Arial"/>
        <family val="2"/>
      </rPr>
      <t xml:space="preserve">- Cuenta en dólares americanos, equivale a $ 92,958.93 dlls. al tipo de cambio de $ 12.36 pesos.  </t>
    </r>
  </si>
  <si>
    <t>UAS Reformas Estructurales 2010</t>
  </si>
  <si>
    <t>UAS Reconocimiento de Plantilla 2010</t>
  </si>
  <si>
    <t>UAS Oferta Educativa 2010</t>
  </si>
  <si>
    <t>UAS Incremento en Matrícula 2010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</si>
</sst>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  <numFmt numFmtId="173" formatCode="_-[$$-80A]* #,##0.00_ ;_-[$$-80A]* \-#,##0.00\ ;_-[$$-80A]* &quot;-&quot;??_ ;_-@_ "/>
    <numFmt numFmtId="174" formatCode="_-* #,##0.00\ _P_t_s_-;\-* #,##0.00\ _P_t_s_-;_-* &quot;-&quot;\ _P_t_s_-;_-@_-"/>
    <numFmt numFmtId="175" formatCode="#,##0.00_ ;[Red]\-#,##0.00\ "/>
    <numFmt numFmtId="176" formatCode="0.00000"/>
    <numFmt numFmtId="177" formatCode="0.0000"/>
    <numFmt numFmtId="178" formatCode="0.000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-80A]dddd\,\ dd&quot; de &quot;mmmm&quot; de &quot;yyyy"/>
    <numFmt numFmtId="184" formatCode="[$-80A]hh:mm:ss\ AM/PM"/>
    <numFmt numFmtId="185" formatCode="#\ ###\ ##0.00;\(#\ ###\ ##0.00\)"/>
    <numFmt numFmtId="186" formatCode="&quot;$&quot;\ #\ ###\ ##0.00;\(#\ ###\ ##0.00\)"/>
    <numFmt numFmtId="187" formatCode="[$€-2]\ #,##0.00_);[Red]\([$€-2]\ #,##0.00\)"/>
    <numFmt numFmtId="188" formatCode="#\ ###\ ###\ ##0.00;\(#\ ###\ ##0.00\)"/>
    <numFmt numFmtId="189" formatCode="mmm\-yyyy"/>
    <numFmt numFmtId="190" formatCode="&quot;$&quot;#,##0.00"/>
  </numFmts>
  <fonts count="3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7.5"/>
      <color indexed="17"/>
      <name val="Times New Roman"/>
      <family val="1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2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9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72" fontId="6" fillId="0" borderId="0" xfId="49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2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Alignment="1">
      <alignment/>
    </xf>
    <xf numFmtId="4" fontId="6" fillId="0" borderId="0" xfId="50" applyNumberFormat="1" applyFont="1" applyFill="1" applyBorder="1" applyAlignment="1">
      <alignment/>
    </xf>
    <xf numFmtId="4" fontId="5" fillId="0" borderId="0" xfId="5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6" fillId="0" borderId="0" xfId="48" applyNumberFormat="1" applyFont="1" applyFill="1" applyAlignment="1">
      <alignment/>
    </xf>
    <xf numFmtId="4" fontId="6" fillId="0" borderId="0" xfId="46" applyNumberFormat="1" applyFont="1" applyFill="1" applyBorder="1" applyAlignment="1">
      <alignment/>
    </xf>
    <xf numFmtId="4" fontId="6" fillId="0" borderId="0" xfId="49" applyNumberFormat="1" applyFont="1" applyFill="1" applyBorder="1" applyAlignment="1">
      <alignment/>
    </xf>
    <xf numFmtId="4" fontId="6" fillId="0" borderId="0" xfId="49" applyNumberFormat="1" applyFont="1" applyFill="1" applyBorder="1" applyAlignment="1">
      <alignment/>
    </xf>
    <xf numFmtId="2" fontId="6" fillId="0" borderId="0" xfId="56" applyNumberFormat="1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170" fontId="1" fillId="0" borderId="0" xfId="52" applyFont="1" applyFill="1" applyBorder="1" applyAlignment="1">
      <alignment/>
    </xf>
    <xf numFmtId="0" fontId="2" fillId="0" borderId="0" xfId="0" applyFont="1" applyFill="1" applyAlignment="1">
      <alignment horizontal="left"/>
    </xf>
    <xf numFmtId="4" fontId="2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3" fontId="0" fillId="0" borderId="0" xfId="51" applyNumberFormat="1" applyFont="1" applyFill="1" applyBorder="1" applyAlignment="1">
      <alignment/>
    </xf>
    <xf numFmtId="43" fontId="1" fillId="0" borderId="0" xfId="51" applyNumberFormat="1" applyFont="1" applyFill="1" applyBorder="1" applyAlignment="1">
      <alignment/>
    </xf>
    <xf numFmtId="43" fontId="0" fillId="0" borderId="0" xfId="51" applyNumberFormat="1" applyFont="1" applyFill="1" applyBorder="1" applyAlignment="1">
      <alignment horizontal="right"/>
    </xf>
    <xf numFmtId="4" fontId="8" fillId="0" borderId="0" xfId="51" applyNumberFormat="1" applyFont="1" applyFill="1" applyAlignment="1">
      <alignment/>
    </xf>
    <xf numFmtId="43" fontId="8" fillId="0" borderId="0" xfId="51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3" fontId="0" fillId="0" borderId="0" xfId="0" applyNumberFormat="1" applyFill="1" applyBorder="1" applyAlignment="1">
      <alignment/>
    </xf>
    <xf numFmtId="175" fontId="0" fillId="0" borderId="0" xfId="51" applyNumberFormat="1" applyFont="1" applyFill="1" applyAlignment="1">
      <alignment/>
    </xf>
    <xf numFmtId="43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71" fontId="6" fillId="0" borderId="0" xfId="46" applyFont="1" applyFill="1" applyBorder="1" applyAlignment="1">
      <alignment/>
    </xf>
    <xf numFmtId="171" fontId="6" fillId="0" borderId="0" xfId="46" applyFont="1" applyFill="1" applyAlignment="1">
      <alignment/>
    </xf>
    <xf numFmtId="171" fontId="5" fillId="0" borderId="0" xfId="46" applyFont="1" applyFill="1" applyBorder="1" applyAlignment="1">
      <alignment horizontal="center"/>
    </xf>
    <xf numFmtId="171" fontId="0" fillId="0" borderId="0" xfId="46" applyFont="1" applyFill="1" applyAlignment="1">
      <alignment/>
    </xf>
    <xf numFmtId="4" fontId="5" fillId="0" borderId="0" xfId="46" applyNumberFormat="1" applyFont="1" applyFill="1" applyAlignment="1">
      <alignment/>
    </xf>
    <xf numFmtId="171" fontId="5" fillId="0" borderId="0" xfId="46" applyFont="1" applyFill="1" applyAlignment="1">
      <alignment/>
    </xf>
    <xf numFmtId="4" fontId="6" fillId="0" borderId="0" xfId="46" applyNumberFormat="1" applyFont="1" applyFill="1" applyAlignment="1">
      <alignment/>
    </xf>
    <xf numFmtId="4" fontId="0" fillId="0" borderId="0" xfId="46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4" fontId="11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85" fontId="1" fillId="0" borderId="0" xfId="0" applyNumberFormat="1" applyFont="1" applyFill="1" applyBorder="1" applyAlignment="1">
      <alignment horizontal="left"/>
    </xf>
    <xf numFmtId="185" fontId="1" fillId="0" borderId="0" xfId="51" applyNumberFormat="1" applyFont="1" applyFill="1" applyBorder="1" applyAlignment="1">
      <alignment/>
    </xf>
    <xf numFmtId="185" fontId="4" fillId="0" borderId="0" xfId="52" applyNumberFormat="1" applyFont="1" applyFill="1" applyBorder="1" applyAlignment="1">
      <alignment/>
    </xf>
    <xf numFmtId="185" fontId="1" fillId="0" borderId="0" xfId="51" applyNumberFormat="1" applyFont="1" applyFill="1" applyAlignment="1">
      <alignment/>
    </xf>
    <xf numFmtId="185" fontId="0" fillId="0" borderId="0" xfId="0" applyNumberFormat="1" applyFill="1" applyAlignment="1">
      <alignment/>
    </xf>
    <xf numFmtId="185" fontId="0" fillId="0" borderId="0" xfId="0" applyNumberFormat="1" applyFont="1" applyFill="1" applyAlignment="1">
      <alignment/>
    </xf>
    <xf numFmtId="185" fontId="13" fillId="0" borderId="0" xfId="0" applyNumberFormat="1" applyFont="1" applyFill="1" applyAlignment="1">
      <alignment horizontal="center"/>
    </xf>
    <xf numFmtId="185" fontId="0" fillId="0" borderId="0" xfId="51" applyNumberFormat="1" applyFont="1" applyFill="1" applyBorder="1" applyAlignment="1">
      <alignment/>
    </xf>
    <xf numFmtId="185" fontId="11" fillId="0" borderId="0" xfId="51" applyNumberFormat="1" applyFont="1" applyFill="1" applyAlignment="1">
      <alignment/>
    </xf>
    <xf numFmtId="185" fontId="0" fillId="0" borderId="0" xfId="51" applyNumberFormat="1" applyFont="1" applyFill="1" applyAlignment="1">
      <alignment/>
    </xf>
    <xf numFmtId="185" fontId="11" fillId="0" borderId="0" xfId="0" applyNumberFormat="1" applyFont="1" applyFill="1" applyAlignment="1">
      <alignment/>
    </xf>
    <xf numFmtId="185" fontId="5" fillId="0" borderId="0" xfId="0" applyNumberFormat="1" applyFont="1" applyFill="1" applyAlignment="1">
      <alignment horizontal="center"/>
    </xf>
    <xf numFmtId="185" fontId="0" fillId="0" borderId="10" xfId="51" applyNumberFormat="1" applyFont="1" applyFill="1" applyBorder="1" applyAlignment="1">
      <alignment/>
    </xf>
    <xf numFmtId="185" fontId="1" fillId="0" borderId="0" xfId="0" applyNumberFormat="1" applyFont="1" applyFill="1" applyBorder="1" applyAlignment="1">
      <alignment horizontal="center"/>
    </xf>
    <xf numFmtId="185" fontId="2" fillId="0" borderId="0" xfId="0" applyNumberFormat="1" applyFont="1" applyFill="1" applyAlignment="1">
      <alignment/>
    </xf>
    <xf numFmtId="185" fontId="2" fillId="0" borderId="0" xfId="51" applyNumberFormat="1" applyFont="1" applyFill="1" applyBorder="1" applyAlignment="1">
      <alignment/>
    </xf>
    <xf numFmtId="185" fontId="11" fillId="0" borderId="0" xfId="51" applyNumberFormat="1" applyFont="1" applyFill="1" applyAlignment="1">
      <alignment/>
    </xf>
    <xf numFmtId="185" fontId="0" fillId="0" borderId="0" xfId="51" applyNumberFormat="1" applyFont="1" applyFill="1" applyBorder="1" applyAlignment="1">
      <alignment/>
    </xf>
    <xf numFmtId="185" fontId="0" fillId="0" borderId="0" xfId="0" applyNumberFormat="1" applyFill="1" applyBorder="1" applyAlignment="1">
      <alignment/>
    </xf>
    <xf numFmtId="185" fontId="11" fillId="0" borderId="0" xfId="51" applyNumberFormat="1" applyFont="1" applyFill="1" applyBorder="1" applyAlignment="1">
      <alignment/>
    </xf>
    <xf numFmtId="185" fontId="0" fillId="0" borderId="0" xfId="51" applyNumberFormat="1" applyFont="1" applyFill="1" applyAlignment="1">
      <alignment horizontal="right"/>
    </xf>
    <xf numFmtId="185" fontId="0" fillId="0" borderId="0" xfId="52" applyNumberFormat="1" applyFont="1" applyFill="1" applyAlignment="1">
      <alignment horizontal="right"/>
    </xf>
    <xf numFmtId="185" fontId="8" fillId="0" borderId="0" xfId="51" applyNumberFormat="1" applyFont="1" applyFill="1" applyAlignment="1">
      <alignment/>
    </xf>
    <xf numFmtId="185" fontId="10" fillId="0" borderId="0" xfId="51" applyNumberFormat="1" applyFont="1" applyFill="1" applyAlignment="1">
      <alignment/>
    </xf>
    <xf numFmtId="185" fontId="0" fillId="0" borderId="0" xfId="51" applyNumberFormat="1" applyFont="1" applyFill="1" applyBorder="1" applyAlignment="1">
      <alignment horizontal="right"/>
    </xf>
    <xf numFmtId="185" fontId="1" fillId="0" borderId="0" xfId="0" applyNumberFormat="1" applyFont="1" applyFill="1" applyAlignment="1">
      <alignment/>
    </xf>
    <xf numFmtId="185" fontId="0" fillId="0" borderId="10" xfId="51" applyNumberFormat="1" applyFont="1" applyFill="1" applyBorder="1" applyAlignment="1">
      <alignment horizontal="right"/>
    </xf>
    <xf numFmtId="185" fontId="4" fillId="0" borderId="0" xfId="51" applyNumberFormat="1" applyFont="1" applyFill="1" applyAlignment="1">
      <alignment horizontal="right"/>
    </xf>
    <xf numFmtId="185" fontId="11" fillId="0" borderId="0" xfId="51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185" fontId="1" fillId="0" borderId="11" xfId="51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center"/>
    </xf>
    <xf numFmtId="185" fontId="6" fillId="0" borderId="0" xfId="0" applyNumberFormat="1" applyFont="1" applyFill="1" applyBorder="1" applyAlignment="1">
      <alignment/>
    </xf>
    <xf numFmtId="185" fontId="6" fillId="0" borderId="0" xfId="50" applyNumberFormat="1" applyFont="1" applyFill="1" applyBorder="1" applyAlignment="1">
      <alignment/>
    </xf>
    <xf numFmtId="185" fontId="6" fillId="0" borderId="0" xfId="56" applyNumberFormat="1" applyFont="1" applyFill="1" applyBorder="1" applyAlignment="1">
      <alignment horizontal="right"/>
    </xf>
    <xf numFmtId="185" fontId="6" fillId="0" borderId="10" xfId="0" applyNumberFormat="1" applyFont="1" applyFill="1" applyBorder="1" applyAlignment="1">
      <alignment/>
    </xf>
    <xf numFmtId="185" fontId="6" fillId="0" borderId="10" xfId="50" applyNumberFormat="1" applyFont="1" applyFill="1" applyBorder="1" applyAlignment="1">
      <alignment/>
    </xf>
    <xf numFmtId="185" fontId="6" fillId="0" borderId="10" xfId="56" applyNumberFormat="1" applyFont="1" applyFill="1" applyBorder="1" applyAlignment="1">
      <alignment horizontal="right"/>
    </xf>
    <xf numFmtId="185" fontId="6" fillId="0" borderId="0" xfId="0" applyNumberFormat="1" applyFont="1" applyFill="1" applyAlignment="1">
      <alignment/>
    </xf>
    <xf numFmtId="185" fontId="6" fillId="0" borderId="0" xfId="56" applyNumberFormat="1" applyFont="1" applyFill="1" applyAlignment="1">
      <alignment horizontal="right"/>
    </xf>
    <xf numFmtId="185" fontId="5" fillId="0" borderId="12" xfId="50" applyNumberFormat="1" applyFont="1" applyFill="1" applyBorder="1" applyAlignment="1">
      <alignment/>
    </xf>
    <xf numFmtId="185" fontId="5" fillId="0" borderId="12" xfId="50" applyNumberFormat="1" applyFont="1" applyFill="1" applyBorder="1" applyAlignment="1">
      <alignment horizontal="right"/>
    </xf>
    <xf numFmtId="185" fontId="5" fillId="0" borderId="0" xfId="50" applyNumberFormat="1" applyFont="1" applyFill="1" applyBorder="1" applyAlignment="1">
      <alignment/>
    </xf>
    <xf numFmtId="185" fontId="5" fillId="0" borderId="10" xfId="0" applyNumberFormat="1" applyFont="1" applyFill="1" applyBorder="1" applyAlignment="1">
      <alignment/>
    </xf>
    <xf numFmtId="185" fontId="6" fillId="0" borderId="0" xfId="0" applyNumberFormat="1" applyFont="1" applyFill="1" applyAlignment="1">
      <alignment/>
    </xf>
    <xf numFmtId="185" fontId="5" fillId="0" borderId="13" xfId="50" applyNumberFormat="1" applyFont="1" applyFill="1" applyBorder="1" applyAlignment="1">
      <alignment/>
    </xf>
    <xf numFmtId="185" fontId="5" fillId="0" borderId="13" xfId="0" applyNumberFormat="1" applyFont="1" applyFill="1" applyBorder="1" applyAlignment="1">
      <alignment horizontal="right"/>
    </xf>
    <xf numFmtId="185" fontId="6" fillId="0" borderId="0" xfId="50" applyNumberFormat="1" applyFont="1" applyFill="1" applyBorder="1" applyAlignment="1">
      <alignment/>
    </xf>
    <xf numFmtId="185" fontId="6" fillId="0" borderId="0" xfId="56" applyNumberFormat="1" applyFont="1" applyFill="1" applyAlignment="1">
      <alignment horizontal="right"/>
    </xf>
    <xf numFmtId="185" fontId="5" fillId="0" borderId="0" xfId="0" applyNumberFormat="1" applyFont="1" applyFill="1" applyBorder="1" applyAlignment="1">
      <alignment horizontal="right"/>
    </xf>
    <xf numFmtId="185" fontId="5" fillId="0" borderId="11" xfId="50" applyNumberFormat="1" applyFont="1" applyFill="1" applyBorder="1" applyAlignment="1">
      <alignment/>
    </xf>
    <xf numFmtId="185" fontId="5" fillId="0" borderId="11" xfId="0" applyNumberFormat="1" applyFont="1" applyFill="1" applyBorder="1" applyAlignment="1">
      <alignment horizontal="right"/>
    </xf>
    <xf numFmtId="185" fontId="5" fillId="0" borderId="0" xfId="50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5" fontId="5" fillId="0" borderId="12" xfId="0" applyNumberFormat="1" applyFont="1" applyFill="1" applyBorder="1" applyAlignment="1">
      <alignment/>
    </xf>
    <xf numFmtId="185" fontId="5" fillId="0" borderId="12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86" fontId="6" fillId="0" borderId="0" xfId="51" applyNumberFormat="1" applyFont="1" applyFill="1" applyBorder="1" applyAlignment="1">
      <alignment horizontal="right"/>
    </xf>
    <xf numFmtId="185" fontId="6" fillId="0" borderId="0" xfId="51" applyNumberFormat="1" applyFont="1" applyFill="1" applyBorder="1" applyAlignment="1">
      <alignment horizontal="right"/>
    </xf>
    <xf numFmtId="185" fontId="5" fillId="0" borderId="0" xfId="0" applyNumberFormat="1" applyFont="1" applyFill="1" applyBorder="1" applyAlignment="1">
      <alignment/>
    </xf>
    <xf numFmtId="185" fontId="6" fillId="0" borderId="0" xfId="48" applyNumberFormat="1" applyFont="1" applyFill="1" applyAlignment="1">
      <alignment/>
    </xf>
    <xf numFmtId="185" fontId="6" fillId="0" borderId="0" xfId="46" applyNumberFormat="1" applyFont="1" applyFill="1" applyBorder="1" applyAlignment="1">
      <alignment/>
    </xf>
    <xf numFmtId="185" fontId="5" fillId="0" borderId="13" xfId="48" applyNumberFormat="1" applyFont="1" applyFill="1" applyBorder="1" applyAlignment="1">
      <alignment/>
    </xf>
    <xf numFmtId="185" fontId="3" fillId="0" borderId="0" xfId="0" applyNumberFormat="1" applyFont="1" applyFill="1" applyBorder="1" applyAlignment="1">
      <alignment horizontal="center"/>
    </xf>
    <xf numFmtId="185" fontId="5" fillId="0" borderId="12" xfId="46" applyNumberFormat="1" applyFont="1" applyFill="1" applyBorder="1" applyAlignment="1">
      <alignment/>
    </xf>
    <xf numFmtId="185" fontId="5" fillId="0" borderId="12" xfId="46" applyNumberFormat="1" applyFont="1" applyFill="1" applyBorder="1" applyAlignment="1">
      <alignment horizontal="right"/>
    </xf>
    <xf numFmtId="185" fontId="6" fillId="0" borderId="0" xfId="46" applyNumberFormat="1" applyFont="1" applyFill="1" applyBorder="1" applyAlignment="1">
      <alignment horizontal="right"/>
    </xf>
    <xf numFmtId="185" fontId="5" fillId="0" borderId="12" xfId="48" applyNumberFormat="1" applyFont="1" applyFill="1" applyBorder="1" applyAlignment="1">
      <alignment/>
    </xf>
    <xf numFmtId="185" fontId="5" fillId="0" borderId="12" xfId="48" applyNumberFormat="1" applyFont="1" applyFill="1" applyBorder="1" applyAlignment="1">
      <alignment horizontal="right"/>
    </xf>
    <xf numFmtId="185" fontId="6" fillId="0" borderId="0" xfId="46" applyNumberFormat="1" applyFont="1" applyFill="1" applyAlignment="1">
      <alignment/>
    </xf>
    <xf numFmtId="185" fontId="6" fillId="0" borderId="0" xfId="49" applyNumberFormat="1" applyFont="1" applyFill="1" applyBorder="1" applyAlignment="1">
      <alignment/>
    </xf>
    <xf numFmtId="185" fontId="5" fillId="0" borderId="0" xfId="46" applyNumberFormat="1" applyFont="1" applyFill="1" applyAlignment="1">
      <alignment/>
    </xf>
    <xf numFmtId="185" fontId="6" fillId="0" borderId="0" xfId="49" applyNumberFormat="1" applyFont="1" applyFill="1" applyBorder="1" applyAlignment="1">
      <alignment/>
    </xf>
    <xf numFmtId="185" fontId="5" fillId="0" borderId="12" xfId="0" applyNumberFormat="1" applyFont="1" applyFill="1" applyBorder="1" applyAlignment="1">
      <alignment/>
    </xf>
    <xf numFmtId="185" fontId="5" fillId="0" borderId="13" xfId="0" applyNumberFormat="1" applyFont="1" applyFill="1" applyBorder="1" applyAlignment="1">
      <alignment/>
    </xf>
    <xf numFmtId="185" fontId="0" fillId="0" borderId="0" xfId="0" applyNumberFormat="1" applyFill="1" applyAlignment="1">
      <alignment horizontal="right"/>
    </xf>
    <xf numFmtId="185" fontId="5" fillId="0" borderId="12" xfId="0" applyNumberFormat="1" applyFont="1" applyFill="1" applyBorder="1" applyAlignment="1">
      <alignment horizontal="center"/>
    </xf>
    <xf numFmtId="185" fontId="6" fillId="0" borderId="0" xfId="49" applyNumberFormat="1" applyFont="1" applyFill="1" applyBorder="1" applyAlignment="1">
      <alignment horizontal="right"/>
    </xf>
    <xf numFmtId="185" fontId="5" fillId="0" borderId="14" xfId="48" applyNumberFormat="1" applyFont="1" applyFill="1" applyBorder="1" applyAlignment="1">
      <alignment/>
    </xf>
    <xf numFmtId="4" fontId="2" fillId="0" borderId="0" xfId="0" applyNumberFormat="1" applyFont="1" applyFill="1" applyAlignment="1">
      <alignment horizontal="right"/>
    </xf>
    <xf numFmtId="4" fontId="0" fillId="0" borderId="0" xfId="0" applyNumberFormat="1" applyFill="1" applyAlignment="1">
      <alignment horizontal="right"/>
    </xf>
    <xf numFmtId="185" fontId="4" fillId="0" borderId="0" xfId="52" applyNumberFormat="1" applyFont="1" applyFill="1" applyBorder="1" applyAlignment="1">
      <alignment horizontal="right"/>
    </xf>
    <xf numFmtId="185" fontId="1" fillId="0" borderId="0" xfId="51" applyNumberFormat="1" applyFont="1" applyFill="1" applyBorder="1" applyAlignment="1">
      <alignment horizontal="right"/>
    </xf>
    <xf numFmtId="185" fontId="1" fillId="0" borderId="0" xfId="52" applyNumberFormat="1" applyFont="1" applyFill="1" applyBorder="1" applyAlignment="1">
      <alignment horizontal="right"/>
    </xf>
    <xf numFmtId="185" fontId="2" fillId="0" borderId="0" xfId="51" applyNumberFormat="1" applyFont="1" applyFill="1" applyBorder="1" applyAlignment="1">
      <alignment horizontal="right"/>
    </xf>
    <xf numFmtId="185" fontId="0" fillId="0" borderId="0" xfId="0" applyNumberFormat="1" applyFill="1" applyBorder="1" applyAlignment="1">
      <alignment horizontal="right"/>
    </xf>
    <xf numFmtId="185" fontId="8" fillId="0" borderId="0" xfId="51" applyNumberFormat="1" applyFont="1" applyFill="1" applyAlignment="1">
      <alignment horizontal="right"/>
    </xf>
    <xf numFmtId="185" fontId="10" fillId="0" borderId="0" xfId="51" applyNumberFormat="1" applyFont="1" applyFill="1" applyAlignment="1">
      <alignment horizontal="right"/>
    </xf>
    <xf numFmtId="185" fontId="9" fillId="0" borderId="0" xfId="46" applyNumberFormat="1" applyFont="1" applyFill="1" applyAlignment="1">
      <alignment horizontal="right"/>
    </xf>
    <xf numFmtId="185" fontId="11" fillId="0" borderId="0" xfId="51" applyNumberFormat="1" applyFont="1" applyFill="1" applyBorder="1" applyAlignment="1">
      <alignment horizontal="right"/>
    </xf>
    <xf numFmtId="185" fontId="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 horizontal="center"/>
    </xf>
    <xf numFmtId="185" fontId="0" fillId="0" borderId="0" xfId="52" applyNumberFormat="1" applyFont="1" applyFill="1" applyBorder="1" applyAlignment="1">
      <alignment/>
    </xf>
    <xf numFmtId="185" fontId="11" fillId="0" borderId="0" xfId="52" applyNumberFormat="1" applyFont="1" applyFill="1" applyBorder="1" applyAlignment="1">
      <alignment/>
    </xf>
    <xf numFmtId="185" fontId="8" fillId="0" borderId="0" xfId="0" applyNumberFormat="1" applyFont="1" applyFill="1" applyAlignment="1">
      <alignment/>
    </xf>
    <xf numFmtId="185" fontId="6" fillId="0" borderId="10" xfId="48" applyNumberFormat="1" applyFont="1" applyFill="1" applyBorder="1" applyAlignment="1">
      <alignment/>
    </xf>
    <xf numFmtId="171" fontId="6" fillId="0" borderId="0" xfId="46" applyFont="1" applyAlignment="1">
      <alignment/>
    </xf>
    <xf numFmtId="17" fontId="1" fillId="0" borderId="0" xfId="51" applyNumberFormat="1" applyFont="1" applyFill="1" applyBorder="1" applyAlignment="1">
      <alignment horizontal="left"/>
    </xf>
    <xf numFmtId="185" fontId="15" fillId="0" borderId="0" xfId="51" applyNumberFormat="1" applyFont="1" applyFill="1" applyAlignment="1">
      <alignment/>
    </xf>
    <xf numFmtId="4" fontId="15" fillId="0" borderId="0" xfId="0" applyNumberFormat="1" applyFont="1" applyFill="1" applyAlignment="1">
      <alignment/>
    </xf>
    <xf numFmtId="185" fontId="8" fillId="0" borderId="0" xfId="46" applyNumberFormat="1" applyFont="1" applyFill="1" applyAlignment="1">
      <alignment/>
    </xf>
    <xf numFmtId="0" fontId="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Border="1" applyAlignment="1">
      <alignment/>
    </xf>
    <xf numFmtId="4" fontId="8" fillId="0" borderId="0" xfId="0" applyNumberFormat="1" applyFont="1" applyFill="1" applyAlignment="1">
      <alignment/>
    </xf>
    <xf numFmtId="171" fontId="6" fillId="0" borderId="0" xfId="46" applyFont="1" applyFill="1" applyBorder="1" applyAlignment="1">
      <alignment/>
    </xf>
    <xf numFmtId="171" fontId="6" fillId="0" borderId="10" xfId="46" applyFont="1" applyBorder="1" applyAlignment="1">
      <alignment/>
    </xf>
    <xf numFmtId="2" fontId="0" fillId="0" borderId="0" xfId="0" applyNumberFormat="1" applyFill="1" applyAlignment="1">
      <alignment/>
    </xf>
    <xf numFmtId="0" fontId="16" fillId="0" borderId="0" xfId="0" applyFont="1" applyAlignment="1">
      <alignment/>
    </xf>
    <xf numFmtId="0" fontId="1" fillId="0" borderId="14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9" fontId="1" fillId="0" borderId="0" xfId="0" applyNumberFormat="1" applyFont="1" applyFill="1" applyAlignment="1">
      <alignment horizontal="right"/>
    </xf>
    <xf numFmtId="185" fontId="5" fillId="0" borderId="0" xfId="49" applyNumberFormat="1" applyFont="1" applyFill="1" applyBorder="1" applyAlignment="1">
      <alignment/>
    </xf>
    <xf numFmtId="185" fontId="5" fillId="0" borderId="0" xfId="46" applyNumberFormat="1" applyFont="1" applyFill="1" applyBorder="1" applyAlignment="1">
      <alignment/>
    </xf>
    <xf numFmtId="185" fontId="1" fillId="0" borderId="10" xfId="51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Alignment="1">
      <alignment/>
    </xf>
    <xf numFmtId="185" fontId="6" fillId="0" borderId="0" xfId="48" applyNumberFormat="1" applyFont="1" applyFill="1" applyAlignment="1">
      <alignment/>
    </xf>
    <xf numFmtId="185" fontId="6" fillId="0" borderId="10" xfId="48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85" fontId="5" fillId="0" borderId="11" xfId="0" applyNumberFormat="1" applyFont="1" applyBorder="1" applyAlignment="1">
      <alignment/>
    </xf>
    <xf numFmtId="171" fontId="5" fillId="0" borderId="1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185" fontId="5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188" fontId="5" fillId="0" borderId="11" xfId="0" applyNumberFormat="1" applyFont="1" applyFill="1" applyBorder="1" applyAlignment="1">
      <alignment/>
    </xf>
    <xf numFmtId="185" fontId="6" fillId="0" borderId="10" xfId="46" applyNumberFormat="1" applyFont="1" applyFill="1" applyBorder="1" applyAlignment="1">
      <alignment/>
    </xf>
    <xf numFmtId="185" fontId="5" fillId="0" borderId="11" xfId="46" applyNumberFormat="1" applyFont="1" applyFill="1" applyBorder="1" applyAlignment="1">
      <alignment/>
    </xf>
    <xf numFmtId="185" fontId="5" fillId="0" borderId="11" xfId="46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185" fontId="5" fillId="0" borderId="0" xfId="48" applyNumberFormat="1" applyFont="1" applyFill="1" applyBorder="1" applyAlignment="1">
      <alignment/>
    </xf>
    <xf numFmtId="185" fontId="5" fillId="0" borderId="11" xfId="48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13" xfId="0" applyFont="1" applyFill="1" applyBorder="1" applyAlignment="1">
      <alignment horizontal="right" vertical="center"/>
    </xf>
    <xf numFmtId="185" fontId="3" fillId="0" borderId="0" xfId="0" applyNumberFormat="1" applyFont="1" applyFill="1" applyAlignment="1">
      <alignment/>
    </xf>
    <xf numFmtId="4" fontId="0" fillId="0" borderId="14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5" fontId="2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71" fontId="6" fillId="0" borderId="0" xfId="48" applyNumberFormat="1" applyFont="1" applyFill="1" applyAlignment="1">
      <alignment horizontal="right"/>
    </xf>
    <xf numFmtId="185" fontId="5" fillId="0" borderId="13" xfId="48" applyNumberFormat="1" applyFont="1" applyFill="1" applyBorder="1" applyAlignment="1">
      <alignment horizontal="right"/>
    </xf>
    <xf numFmtId="185" fontId="6" fillId="0" borderId="0" xfId="46" applyNumberFormat="1" applyFont="1" applyFill="1" applyAlignment="1">
      <alignment horizontal="right"/>
    </xf>
    <xf numFmtId="171" fontId="6" fillId="0" borderId="0" xfId="46" applyFont="1" applyFill="1" applyAlignment="1">
      <alignment horizontal="right"/>
    </xf>
    <xf numFmtId="185" fontId="6" fillId="0" borderId="10" xfId="46" applyNumberFormat="1" applyFont="1" applyFill="1" applyBorder="1" applyAlignment="1">
      <alignment horizontal="right"/>
    </xf>
    <xf numFmtId="185" fontId="3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185" fontId="5" fillId="0" borderId="14" xfId="50" applyNumberFormat="1" applyFont="1" applyFill="1" applyBorder="1" applyAlignment="1">
      <alignment/>
    </xf>
    <xf numFmtId="185" fontId="5" fillId="0" borderId="0" xfId="56" applyNumberFormat="1" applyFont="1" applyFill="1" applyBorder="1" applyAlignment="1">
      <alignment horizontal="right"/>
    </xf>
    <xf numFmtId="185" fontId="5" fillId="0" borderId="11" xfId="5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4" fontId="0" fillId="0" borderId="0" xfId="51" applyNumberFormat="1" applyFont="1" applyFill="1" applyBorder="1" applyAlignment="1">
      <alignment horizontal="right"/>
    </xf>
    <xf numFmtId="4" fontId="0" fillId="0" borderId="0" xfId="51" applyNumberFormat="1" applyFont="1" applyFill="1" applyAlignment="1">
      <alignment/>
    </xf>
    <xf numFmtId="190" fontId="5" fillId="0" borderId="12" xfId="5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85" fontId="1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 er Informe jun-ago. 2001" xfId="48"/>
    <cellStyle name="Millares [0]_1er informe 2001" xfId="49"/>
    <cellStyle name="Millares [0]_Ingresos" xfId="50"/>
    <cellStyle name="Millares_1er informe 2001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zoomScale="85" zoomScaleNormal="85" zoomScaleSheetLayoutView="100" zoomScalePageLayoutView="0" workbookViewId="0" topLeftCell="A1">
      <selection activeCell="P13" sqref="P13"/>
    </sheetView>
  </sheetViews>
  <sheetFormatPr defaultColWidth="11.421875" defaultRowHeight="12.75"/>
  <cols>
    <col min="1" max="1" width="11.57421875" style="1" customWidth="1"/>
    <col min="2" max="2" width="1.7109375" style="1" customWidth="1"/>
    <col min="3" max="3" width="35.57421875" style="1" customWidth="1"/>
    <col min="4" max="4" width="10.57421875" style="1" customWidth="1"/>
    <col min="5" max="5" width="2.7109375" style="1" customWidth="1"/>
    <col min="6" max="6" width="15.8515625" style="22" bestFit="1" customWidth="1"/>
    <col min="7" max="7" width="2.7109375" style="175" customWidth="1"/>
    <col min="8" max="8" width="15.28125" style="22" bestFit="1" customWidth="1"/>
    <col min="9" max="9" width="14.8515625" style="1" bestFit="1" customWidth="1"/>
    <col min="10" max="10" width="15.140625" style="1" customWidth="1"/>
    <col min="11" max="16384" width="11.421875" style="1" customWidth="1"/>
  </cols>
  <sheetData>
    <row r="1" spans="1:8" ht="14.25" customHeight="1">
      <c r="A1" s="286" t="s">
        <v>283</v>
      </c>
      <c r="B1" s="286"/>
      <c r="C1" s="286"/>
      <c r="D1" s="286"/>
      <c r="E1" s="286"/>
      <c r="F1" s="286"/>
      <c r="G1" s="286"/>
      <c r="H1" s="286"/>
    </row>
    <row r="2" spans="1:8" ht="12.75" customHeight="1">
      <c r="A2" s="286" t="s">
        <v>406</v>
      </c>
      <c r="B2" s="286"/>
      <c r="C2" s="286"/>
      <c r="D2" s="286"/>
      <c r="E2" s="286"/>
      <c r="F2" s="286"/>
      <c r="G2" s="286"/>
      <c r="H2" s="286"/>
    </row>
    <row r="3" spans="1:8" ht="12.75" customHeight="1">
      <c r="A3" s="287" t="s">
        <v>419</v>
      </c>
      <c r="B3" s="287"/>
      <c r="C3" s="287"/>
      <c r="D3" s="287"/>
      <c r="E3" s="287"/>
      <c r="F3" s="287"/>
      <c r="G3" s="287"/>
      <c r="H3" s="287"/>
    </row>
    <row r="4" spans="1:8" ht="13.5" customHeight="1">
      <c r="A4" s="287" t="s">
        <v>472</v>
      </c>
      <c r="B4" s="287"/>
      <c r="C4" s="287"/>
      <c r="D4" s="287"/>
      <c r="E4" s="287"/>
      <c r="F4" s="287"/>
      <c r="G4" s="287"/>
      <c r="H4" s="287"/>
    </row>
    <row r="5" spans="3:8" ht="18.75" customHeight="1">
      <c r="C5" s="40"/>
      <c r="D5" s="40"/>
      <c r="E5" s="40"/>
      <c r="F5" s="41"/>
      <c r="G5" s="174"/>
      <c r="H5" s="41"/>
    </row>
    <row r="6" spans="1:8" ht="15" customHeight="1">
      <c r="A6" s="257" t="s">
        <v>244</v>
      </c>
      <c r="B6" s="207"/>
      <c r="C6" s="282" t="s">
        <v>0</v>
      </c>
      <c r="D6" s="282"/>
      <c r="E6" s="282"/>
      <c r="F6" s="282"/>
      <c r="G6" s="255"/>
      <c r="H6" s="284" t="s">
        <v>1</v>
      </c>
    </row>
    <row r="7" spans="1:8" ht="15" customHeight="1">
      <c r="A7" s="258" t="s">
        <v>407</v>
      </c>
      <c r="B7" s="83"/>
      <c r="C7" s="283"/>
      <c r="D7" s="283"/>
      <c r="E7" s="283"/>
      <c r="F7" s="283"/>
      <c r="G7" s="256"/>
      <c r="H7" s="285"/>
    </row>
    <row r="8" spans="3:8" ht="18.75" customHeight="1">
      <c r="C8" s="43"/>
      <c r="D8" s="43"/>
      <c r="E8" s="43"/>
      <c r="H8" s="76"/>
    </row>
    <row r="9" spans="1:10" ht="14.25" customHeight="1">
      <c r="A9" s="16"/>
      <c r="B9" s="16"/>
      <c r="C9" s="73" t="s">
        <v>120</v>
      </c>
      <c r="D9" s="73"/>
      <c r="E9" s="90"/>
      <c r="G9" s="176" t="s">
        <v>282</v>
      </c>
      <c r="H9" s="93">
        <v>227098958.6</v>
      </c>
      <c r="I9" s="279"/>
      <c r="J9" s="65"/>
    </row>
    <row r="10" spans="1:9" ht="14.25" customHeight="1">
      <c r="A10" s="16"/>
      <c r="B10" s="16"/>
      <c r="C10" s="73"/>
      <c r="D10" s="73"/>
      <c r="E10" s="90"/>
      <c r="F10" s="114"/>
      <c r="G10" s="177"/>
      <c r="H10" s="94"/>
      <c r="I10" s="42"/>
    </row>
    <row r="11" spans="1:9" ht="14.25" customHeight="1">
      <c r="A11" s="16"/>
      <c r="B11" s="16"/>
      <c r="C11" s="73"/>
      <c r="D11" s="73"/>
      <c r="E11" s="90"/>
      <c r="F11" s="97"/>
      <c r="G11" s="177"/>
      <c r="H11" s="94"/>
      <c r="I11" s="42"/>
    </row>
    <row r="12" spans="1:9" ht="14.25">
      <c r="A12" s="84" t="s">
        <v>278</v>
      </c>
      <c r="C12" s="7"/>
      <c r="D12" s="7"/>
      <c r="E12" s="95"/>
      <c r="F12" s="97"/>
      <c r="G12" s="177"/>
      <c r="H12" s="191"/>
      <c r="I12" s="16"/>
    </row>
    <row r="13" spans="3:9" ht="15">
      <c r="C13" s="85" t="s">
        <v>279</v>
      </c>
      <c r="D13" s="82"/>
      <c r="E13" s="96"/>
      <c r="F13" s="190"/>
      <c r="G13" s="178"/>
      <c r="H13" s="1"/>
      <c r="I13" s="28"/>
    </row>
    <row r="14" spans="3:9" ht="14.25">
      <c r="C14" s="7"/>
      <c r="D14" s="7"/>
      <c r="E14" s="95"/>
      <c r="F14" s="97"/>
      <c r="G14" s="114"/>
      <c r="H14" s="98"/>
      <c r="I14" s="16"/>
    </row>
    <row r="15" spans="1:10" ht="14.25">
      <c r="A15" s="4" t="s">
        <v>245</v>
      </c>
      <c r="B15" s="4"/>
      <c r="C15" s="7" t="s">
        <v>2</v>
      </c>
      <c r="D15" s="186"/>
      <c r="E15" s="95" t="s">
        <v>282</v>
      </c>
      <c r="F15" s="99">
        <f>Sub!E23</f>
        <v>868341523.98</v>
      </c>
      <c r="G15" s="111"/>
      <c r="H15" s="100"/>
      <c r="I15" s="44"/>
      <c r="J15" s="44"/>
    </row>
    <row r="16" spans="1:9" ht="14.25">
      <c r="A16" s="4"/>
      <c r="B16" s="4"/>
      <c r="C16" s="10"/>
      <c r="D16" s="10"/>
      <c r="E16" s="101"/>
      <c r="F16" s="99"/>
      <c r="G16" s="110"/>
      <c r="H16" s="100"/>
      <c r="I16" s="44"/>
    </row>
    <row r="17" spans="1:9" ht="14.25">
      <c r="A17" s="4"/>
      <c r="B17" s="4"/>
      <c r="C17" s="7"/>
      <c r="D17" s="186"/>
      <c r="E17" s="95"/>
      <c r="F17" s="99"/>
      <c r="G17" s="110"/>
      <c r="H17" s="100"/>
      <c r="I17" s="16"/>
    </row>
    <row r="18" spans="1:10" ht="14.25">
      <c r="A18" s="4" t="s">
        <v>246</v>
      </c>
      <c r="B18" s="4"/>
      <c r="C18" s="7" t="s">
        <v>4</v>
      </c>
      <c r="D18" s="186"/>
      <c r="E18" s="95"/>
      <c r="F18" s="99">
        <f>'Ing.Prop'!E46</f>
        <v>79080085.69000001</v>
      </c>
      <c r="G18" s="110"/>
      <c r="H18" s="100"/>
      <c r="I18" s="44"/>
      <c r="J18" s="44"/>
    </row>
    <row r="19" spans="1:9" ht="14.25">
      <c r="A19" s="4"/>
      <c r="B19" s="4"/>
      <c r="C19" s="10"/>
      <c r="D19" s="10"/>
      <c r="E19" s="101"/>
      <c r="F19" s="113"/>
      <c r="G19" s="110"/>
      <c r="H19" s="100"/>
      <c r="I19" s="44"/>
    </row>
    <row r="20" spans="1:9" ht="14.25">
      <c r="A20" s="4"/>
      <c r="B20" s="4"/>
      <c r="C20" s="7"/>
      <c r="D20" s="186"/>
      <c r="E20" s="95"/>
      <c r="F20" s="99"/>
      <c r="G20" s="110"/>
      <c r="H20" s="100"/>
      <c r="I20" s="16"/>
    </row>
    <row r="21" spans="1:10" ht="14.25">
      <c r="A21" s="4" t="s">
        <v>247</v>
      </c>
      <c r="B21" s="4"/>
      <c r="C21" s="7" t="s">
        <v>6</v>
      </c>
      <c r="D21" s="186"/>
      <c r="E21" s="95"/>
      <c r="F21" s="99">
        <f>'O.Ing.Prop'!E14</f>
        <v>21185363.7</v>
      </c>
      <c r="G21" s="110"/>
      <c r="H21" s="100"/>
      <c r="I21" s="44"/>
      <c r="J21" s="44"/>
    </row>
    <row r="22" spans="1:9" ht="14.25">
      <c r="A22" s="4"/>
      <c r="B22" s="4"/>
      <c r="C22" s="10"/>
      <c r="D22" s="10"/>
      <c r="E22" s="101"/>
      <c r="F22" s="99"/>
      <c r="G22" s="110"/>
      <c r="H22" s="100"/>
      <c r="I22" s="44"/>
    </row>
    <row r="23" spans="1:9" ht="14.25">
      <c r="A23" s="4"/>
      <c r="B23" s="4"/>
      <c r="C23" s="7"/>
      <c r="D23" s="186"/>
      <c r="E23" s="95"/>
      <c r="F23" s="94"/>
      <c r="G23" s="170"/>
      <c r="H23" s="100"/>
      <c r="I23" s="16"/>
    </row>
    <row r="24" spans="1:10" ht="12.75">
      <c r="A24" s="4" t="s">
        <v>248</v>
      </c>
      <c r="B24" s="4"/>
      <c r="C24" s="7" t="s">
        <v>9</v>
      </c>
      <c r="D24" s="186"/>
      <c r="E24" s="95"/>
      <c r="F24" s="102">
        <f>'O.Ing'!E15</f>
        <v>8126743.74</v>
      </c>
      <c r="G24" s="110"/>
      <c r="H24" s="93">
        <f>SUM(F15:F24)</f>
        <v>976733717.1100001</v>
      </c>
      <c r="I24" s="44"/>
      <c r="J24" s="44"/>
    </row>
    <row r="25" spans="3:10" ht="14.25">
      <c r="C25" s="10"/>
      <c r="D25" s="10"/>
      <c r="E25" s="101"/>
      <c r="F25" s="97"/>
      <c r="G25" s="114"/>
      <c r="H25" s="100"/>
      <c r="I25" s="44"/>
      <c r="J25" s="44"/>
    </row>
    <row r="26" spans="3:9" ht="14.25">
      <c r="C26" s="7"/>
      <c r="D26" s="186"/>
      <c r="E26" s="95"/>
      <c r="F26" s="97"/>
      <c r="G26" s="114"/>
      <c r="H26" s="98"/>
      <c r="I26" s="16"/>
    </row>
    <row r="27" spans="1:9" ht="15.75" customHeight="1">
      <c r="A27" s="16"/>
      <c r="B27" s="16"/>
      <c r="C27" s="2"/>
      <c r="D27" s="2"/>
      <c r="E27" s="103"/>
      <c r="F27" s="91"/>
      <c r="G27" s="177"/>
      <c r="H27" s="94"/>
      <c r="I27" s="45"/>
    </row>
    <row r="28" spans="1:9" ht="14.25">
      <c r="A28" s="84" t="s">
        <v>280</v>
      </c>
      <c r="C28" s="43"/>
      <c r="D28" s="187"/>
      <c r="E28" s="104"/>
      <c r="F28" s="105"/>
      <c r="G28" s="179"/>
      <c r="H28" s="106"/>
      <c r="I28" s="16"/>
    </row>
    <row r="29" spans="3:9" ht="15">
      <c r="C29" s="85" t="s">
        <v>281</v>
      </c>
      <c r="D29" s="82"/>
      <c r="E29" s="96"/>
      <c r="F29" s="107"/>
      <c r="G29" s="114"/>
      <c r="H29" s="1"/>
      <c r="I29" s="28"/>
    </row>
    <row r="30" spans="3:9" ht="14.25">
      <c r="C30" s="7"/>
      <c r="D30" s="186"/>
      <c r="E30" s="95"/>
      <c r="F30" s="108"/>
      <c r="G30" s="180"/>
      <c r="H30" s="109"/>
      <c r="I30" s="16"/>
    </row>
    <row r="31" spans="1:10" ht="14.25">
      <c r="A31" s="4" t="s">
        <v>249</v>
      </c>
      <c r="B31" s="4"/>
      <c r="C31" s="7" t="s">
        <v>11</v>
      </c>
      <c r="D31" s="186"/>
      <c r="E31" s="95" t="s">
        <v>282</v>
      </c>
      <c r="F31" s="110">
        <f>'Serv.Per'!E97</f>
        <v>636945451.56</v>
      </c>
      <c r="G31" s="111"/>
      <c r="H31" s="100"/>
      <c r="I31" s="46"/>
      <c r="J31" s="46"/>
    </row>
    <row r="32" spans="1:9" ht="12.75">
      <c r="A32" s="4"/>
      <c r="B32" s="4"/>
      <c r="C32" s="10"/>
      <c r="D32" s="10"/>
      <c r="E32" s="101"/>
      <c r="F32" s="202"/>
      <c r="G32" s="181"/>
      <c r="H32" s="195"/>
      <c r="I32" s="196"/>
    </row>
    <row r="33" spans="1:9" ht="12.75">
      <c r="A33" s="4"/>
      <c r="B33" s="4"/>
      <c r="C33" s="7"/>
      <c r="D33" s="186"/>
      <c r="E33" s="95"/>
      <c r="G33" s="110"/>
      <c r="H33" s="195"/>
      <c r="I33" s="196"/>
    </row>
    <row r="34" spans="1:10" ht="12.75">
      <c r="A34" s="4" t="s">
        <v>250</v>
      </c>
      <c r="B34" s="4"/>
      <c r="C34" s="7" t="s">
        <v>13</v>
      </c>
      <c r="D34" s="186"/>
      <c r="E34" s="95"/>
      <c r="F34" s="110">
        <f>'Mat.Cons'!E13</f>
        <v>5438798.34</v>
      </c>
      <c r="G34" s="110"/>
      <c r="I34" s="156"/>
      <c r="J34" s="156"/>
    </row>
    <row r="35" spans="1:9" ht="12.75">
      <c r="A35" s="4"/>
      <c r="B35" s="4"/>
      <c r="C35" s="10"/>
      <c r="D35" s="189"/>
      <c r="E35" s="101"/>
      <c r="F35" s="197"/>
      <c r="G35" s="182"/>
      <c r="H35" s="113"/>
      <c r="I35" s="46"/>
    </row>
    <row r="36" spans="1:9" ht="14.25">
      <c r="A36" s="4"/>
      <c r="B36" s="4"/>
      <c r="C36" s="7"/>
      <c r="G36" s="182"/>
      <c r="H36" s="100"/>
      <c r="I36" s="16"/>
    </row>
    <row r="37" spans="1:10" ht="14.25">
      <c r="A37" s="4" t="s">
        <v>251</v>
      </c>
      <c r="B37" s="4"/>
      <c r="C37" s="7" t="s">
        <v>15</v>
      </c>
      <c r="D37" s="186"/>
      <c r="E37" s="95"/>
      <c r="F37" s="114">
        <f>'Serv.Grals'!E43</f>
        <v>35953573.74999999</v>
      </c>
      <c r="G37" s="114"/>
      <c r="H37" s="100"/>
      <c r="I37" s="46"/>
      <c r="J37" s="46"/>
    </row>
    <row r="38" spans="1:9" ht="12.75">
      <c r="A38" s="4"/>
      <c r="B38" s="4"/>
      <c r="C38" s="10"/>
      <c r="D38" s="189"/>
      <c r="E38" s="101"/>
      <c r="F38" s="196"/>
      <c r="G38" s="170"/>
      <c r="I38" s="48"/>
    </row>
    <row r="39" spans="1:8" ht="12.75">
      <c r="A39" s="4"/>
      <c r="B39" s="4"/>
      <c r="C39" s="8"/>
      <c r="D39" s="189"/>
      <c r="E39" s="115"/>
      <c r="F39" s="198"/>
      <c r="G39" s="183"/>
      <c r="H39" s="94"/>
    </row>
    <row r="40" spans="1:10" ht="12.75">
      <c r="A40" s="4" t="s">
        <v>252</v>
      </c>
      <c r="B40" s="4"/>
      <c r="C40" s="7" t="s">
        <v>17</v>
      </c>
      <c r="D40" s="186"/>
      <c r="E40" s="254" t="s">
        <v>23</v>
      </c>
      <c r="F40" s="116">
        <f>'Gto.Comp'!E15</f>
        <v>111947352.42000002</v>
      </c>
      <c r="G40" s="114"/>
      <c r="H40" s="213">
        <f>SUM(F31:F40)</f>
        <v>790285176.0699999</v>
      </c>
      <c r="I40" s="46"/>
      <c r="J40" s="46"/>
    </row>
    <row r="41" spans="3:10" ht="15">
      <c r="C41" s="10"/>
      <c r="D41" s="10"/>
      <c r="E41" s="101"/>
      <c r="F41" s="107"/>
      <c r="G41" s="114"/>
      <c r="H41" s="117"/>
      <c r="I41" s="46"/>
      <c r="J41" s="46"/>
    </row>
    <row r="42" spans="3:9" ht="14.25">
      <c r="C42" s="8"/>
      <c r="D42" s="4"/>
      <c r="E42" s="115"/>
      <c r="F42" s="107"/>
      <c r="G42" s="114"/>
      <c r="H42" s="118"/>
      <c r="I42" s="16"/>
    </row>
    <row r="43" spans="1:10" ht="14.25" customHeight="1" thickBot="1">
      <c r="A43" s="2" t="s">
        <v>253</v>
      </c>
      <c r="B43" s="16"/>
      <c r="C43" s="235" t="s">
        <v>119</v>
      </c>
      <c r="D43" s="81"/>
      <c r="E43" s="119"/>
      <c r="G43" s="176" t="s">
        <v>282</v>
      </c>
      <c r="H43" s="120">
        <f>H9+H24-H40</f>
        <v>413547499.6400001</v>
      </c>
      <c r="I43" s="52"/>
      <c r="J43" s="52"/>
    </row>
    <row r="44" spans="1:9" ht="12.75" customHeight="1" thickTop="1">
      <c r="A44" s="16"/>
      <c r="B44" s="16"/>
      <c r="C44" s="81"/>
      <c r="D44" s="81"/>
      <c r="E44" s="121"/>
      <c r="G44" s="184"/>
      <c r="H44" s="92"/>
      <c r="I44" s="278"/>
    </row>
    <row r="45" spans="1:9" ht="12.75" customHeight="1">
      <c r="A45" s="16"/>
      <c r="B45" s="16"/>
      <c r="C45" s="78"/>
      <c r="D45" s="81"/>
      <c r="E45" s="119"/>
      <c r="G45" s="180"/>
      <c r="H45" s="192"/>
      <c r="I45" s="195"/>
    </row>
    <row r="46" spans="2:9" ht="12.75">
      <c r="B46" s="2"/>
      <c r="D46" s="3"/>
      <c r="E46" s="94"/>
      <c r="G46" s="185"/>
      <c r="H46" s="94"/>
      <c r="I46" s="39"/>
    </row>
    <row r="47" spans="3:9" ht="12.75">
      <c r="C47" s="77" t="s">
        <v>408</v>
      </c>
      <c r="D47" s="49"/>
      <c r="E47" s="122"/>
      <c r="F47" s="94"/>
      <c r="G47" s="180"/>
      <c r="H47" s="192"/>
      <c r="I47" s="50"/>
    </row>
    <row r="48" spans="3:9" ht="4.5" customHeight="1">
      <c r="C48" s="77"/>
      <c r="D48" s="49"/>
      <c r="E48" s="122"/>
      <c r="F48" s="94"/>
      <c r="G48" s="180"/>
      <c r="H48" s="192"/>
      <c r="I48" s="50"/>
    </row>
    <row r="49" spans="3:9" ht="12.75">
      <c r="C49" s="55" t="s">
        <v>545</v>
      </c>
      <c r="D49" s="3"/>
      <c r="E49" s="94"/>
      <c r="G49" s="170"/>
      <c r="H49" s="112"/>
      <c r="I49" s="44"/>
    </row>
    <row r="50" spans="4:9" ht="12.75">
      <c r="D50" s="3"/>
      <c r="I50" s="16"/>
    </row>
    <row r="51" spans="4:9" ht="12.75">
      <c r="D51" s="3"/>
      <c r="H51" s="47"/>
      <c r="I51" s="47"/>
    </row>
    <row r="52" ht="12.75">
      <c r="I52" s="51"/>
    </row>
    <row r="53" ht="12.75">
      <c r="I53" s="52"/>
    </row>
  </sheetData>
  <sheetProtection/>
  <mergeCells count="6">
    <mergeCell ref="C6:F7"/>
    <mergeCell ref="H6:H7"/>
    <mergeCell ref="A1:H1"/>
    <mergeCell ref="A2:H2"/>
    <mergeCell ref="A3:H3"/>
    <mergeCell ref="A4:H4"/>
  </mergeCells>
  <printOptions/>
  <pageMargins left="0.8661417322834646" right="0.35433070866141736" top="0.7874015748031497" bottom="0.7874015748031497" header="0" footer="0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34.00390625" style="1" customWidth="1"/>
    <col min="2" max="5" width="11.7109375" style="22" customWidth="1"/>
    <col min="6" max="6" width="6.57421875" style="1" customWidth="1"/>
    <col min="7" max="16384" width="11.421875" style="1" customWidth="1"/>
  </cols>
  <sheetData>
    <row r="1" spans="1:6" s="217" customFormat="1" ht="12.75">
      <c r="A1" s="214"/>
      <c r="B1" s="215"/>
      <c r="C1" s="215"/>
      <c r="D1" s="215"/>
      <c r="E1" s="289" t="s">
        <v>12</v>
      </c>
      <c r="F1" s="289"/>
    </row>
    <row r="2" spans="1:6" s="217" customFormat="1" ht="12.75">
      <c r="A2" s="288" t="s">
        <v>283</v>
      </c>
      <c r="B2" s="288"/>
      <c r="C2" s="288"/>
      <c r="D2" s="288"/>
      <c r="E2" s="288"/>
      <c r="F2" s="288"/>
    </row>
    <row r="3" spans="1:6" s="217" customFormat="1" ht="12.75">
      <c r="A3" s="290" t="s">
        <v>406</v>
      </c>
      <c r="B3" s="290"/>
      <c r="C3" s="290"/>
      <c r="D3" s="290"/>
      <c r="E3" s="290"/>
      <c r="F3" s="290"/>
    </row>
    <row r="4" spans="1:6" s="217" customFormat="1" ht="12.75">
      <c r="A4" s="288" t="s">
        <v>291</v>
      </c>
      <c r="B4" s="288"/>
      <c r="C4" s="288"/>
      <c r="D4" s="288"/>
      <c r="E4" s="288"/>
      <c r="F4" s="288"/>
    </row>
    <row r="5" spans="1:7" s="224" customFormat="1" ht="12.75">
      <c r="A5" s="287" t="s">
        <v>476</v>
      </c>
      <c r="B5" s="287"/>
      <c r="C5" s="287"/>
      <c r="D5" s="287"/>
      <c r="E5" s="287"/>
      <c r="F5" s="287"/>
      <c r="G5" s="223"/>
    </row>
    <row r="6" spans="1:7" ht="18.75" customHeight="1">
      <c r="A6" s="87"/>
      <c r="B6" s="87"/>
      <c r="C6" s="87"/>
      <c r="D6" s="87"/>
      <c r="E6" s="87"/>
      <c r="F6" s="87"/>
      <c r="G6" s="35"/>
    </row>
    <row r="7" spans="1:6" ht="26.25" customHeight="1">
      <c r="A7" s="218" t="s">
        <v>19</v>
      </c>
      <c r="B7" s="219" t="s">
        <v>473</v>
      </c>
      <c r="C7" s="219" t="s">
        <v>474</v>
      </c>
      <c r="D7" s="219" t="s">
        <v>475</v>
      </c>
      <c r="E7" s="218" t="s">
        <v>20</v>
      </c>
      <c r="F7" s="220" t="s">
        <v>21</v>
      </c>
    </row>
    <row r="8" spans="1:6" ht="9" customHeight="1">
      <c r="A8" s="70"/>
      <c r="B8" s="70"/>
      <c r="C8" s="70"/>
      <c r="D8" s="70"/>
      <c r="E8" s="70"/>
      <c r="F8" s="2"/>
    </row>
    <row r="9" spans="1:6" ht="15" customHeight="1">
      <c r="A9" s="237" t="s">
        <v>260</v>
      </c>
      <c r="B9" s="155">
        <v>578866.9</v>
      </c>
      <c r="C9" s="155">
        <v>86900.21</v>
      </c>
      <c r="D9" s="155">
        <v>4510624.8</v>
      </c>
      <c r="E9" s="156">
        <f>SUM(B9:D9)</f>
        <v>5176391.91</v>
      </c>
      <c r="F9" s="161">
        <f>(E9/$E$13)*100</f>
        <v>95.17528664245346</v>
      </c>
    </row>
    <row r="10" spans="1:6" ht="15" customHeight="1">
      <c r="A10" s="5" t="s">
        <v>66</v>
      </c>
      <c r="B10" s="155">
        <v>99418.01</v>
      </c>
      <c r="C10" s="155">
        <v>40266.21</v>
      </c>
      <c r="D10" s="155">
        <v>82122.21</v>
      </c>
      <c r="E10" s="156">
        <f>SUM(B10:D10)</f>
        <v>221806.43</v>
      </c>
      <c r="F10" s="161">
        <f>(E10/$E$13)*100</f>
        <v>4.078224933781972</v>
      </c>
    </row>
    <row r="11" spans="1:6" ht="15" customHeight="1">
      <c r="A11" s="281" t="s">
        <v>496</v>
      </c>
      <c r="B11" s="155"/>
      <c r="C11" s="155"/>
      <c r="D11" s="155">
        <v>40600</v>
      </c>
      <c r="E11" s="156">
        <f>SUM(B11:D11)</f>
        <v>40600</v>
      </c>
      <c r="F11" s="161">
        <f>(E11/$E$13)*100</f>
        <v>0.7464884237645775</v>
      </c>
    </row>
    <row r="12" spans="1:6" ht="9" customHeight="1">
      <c r="A12" s="5"/>
      <c r="B12" s="155"/>
      <c r="C12" s="155"/>
      <c r="D12" s="155"/>
      <c r="E12" s="155"/>
      <c r="F12" s="161"/>
    </row>
    <row r="13" spans="1:6" ht="15" customHeight="1" thickBot="1">
      <c r="A13" s="70" t="s">
        <v>107</v>
      </c>
      <c r="B13" s="162">
        <f>SUM(B9:B12)</f>
        <v>678284.91</v>
      </c>
      <c r="C13" s="162">
        <f>SUM(C9:C12)</f>
        <v>127166.42000000001</v>
      </c>
      <c r="D13" s="162">
        <f>SUM(D9:D12)</f>
        <v>4633347.01</v>
      </c>
      <c r="E13" s="162">
        <f>SUM(E9:E12)</f>
        <v>5438798.34</v>
      </c>
      <c r="F13" s="163">
        <f>SUM(F9:F12)</f>
        <v>100</v>
      </c>
    </row>
    <row r="14" ht="13.5" thickTop="1"/>
    <row r="16" ht="12.75">
      <c r="D16" s="37"/>
    </row>
  </sheetData>
  <sheetProtection/>
  <mergeCells count="5">
    <mergeCell ref="A5:F5"/>
    <mergeCell ref="E1:F1"/>
    <mergeCell ref="A2:F2"/>
    <mergeCell ref="A3:F3"/>
    <mergeCell ref="A4:F4"/>
  </mergeCells>
  <printOptions/>
  <pageMargins left="0.8661417322834646" right="0.8267716535433072" top="0.7874015748031497" bottom="0.7874015748031497" header="0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E1" sqref="E1:F1"/>
    </sheetView>
  </sheetViews>
  <sheetFormatPr defaultColWidth="11.421875" defaultRowHeight="12.75"/>
  <cols>
    <col min="1" max="1" width="33.8515625" style="1" customWidth="1"/>
    <col min="2" max="5" width="11.7109375" style="22" customWidth="1"/>
    <col min="6" max="6" width="6.57421875" style="1" customWidth="1"/>
    <col min="7" max="7" width="12.00390625" style="1" bestFit="1" customWidth="1"/>
    <col min="8" max="16384" width="11.421875" style="1" customWidth="1"/>
  </cols>
  <sheetData>
    <row r="1" spans="1:6" s="217" customFormat="1" ht="12.75">
      <c r="A1" s="214"/>
      <c r="B1" s="215"/>
      <c r="C1" s="215"/>
      <c r="D1" s="215"/>
      <c r="E1" s="289" t="s">
        <v>14</v>
      </c>
      <c r="F1" s="289"/>
    </row>
    <row r="2" spans="1:6" s="217" customFormat="1" ht="12.75">
      <c r="A2" s="288" t="s">
        <v>283</v>
      </c>
      <c r="B2" s="288"/>
      <c r="C2" s="288"/>
      <c r="D2" s="288"/>
      <c r="E2" s="288"/>
      <c r="F2" s="288"/>
    </row>
    <row r="3" spans="1:6" s="217" customFormat="1" ht="12.75">
      <c r="A3" s="290" t="s">
        <v>406</v>
      </c>
      <c r="B3" s="290"/>
      <c r="C3" s="290"/>
      <c r="D3" s="290"/>
      <c r="E3" s="290"/>
      <c r="F3" s="290"/>
    </row>
    <row r="4" spans="1:6" s="217" customFormat="1" ht="12.75">
      <c r="A4" s="288" t="s">
        <v>292</v>
      </c>
      <c r="B4" s="288"/>
      <c r="C4" s="288"/>
      <c r="D4" s="288"/>
      <c r="E4" s="288"/>
      <c r="F4" s="288"/>
    </row>
    <row r="5" spans="1:7" s="224" customFormat="1" ht="12.75">
      <c r="A5" s="287" t="s">
        <v>476</v>
      </c>
      <c r="B5" s="287"/>
      <c r="C5" s="287"/>
      <c r="D5" s="287"/>
      <c r="E5" s="287"/>
      <c r="F5" s="287"/>
      <c r="G5" s="223"/>
    </row>
    <row r="6" spans="1:6" ht="18.75" customHeight="1">
      <c r="A6" s="16"/>
      <c r="B6" s="16"/>
      <c r="C6" s="16"/>
      <c r="D6" s="16"/>
      <c r="E6" s="16"/>
      <c r="F6" s="16"/>
    </row>
    <row r="7" spans="1:6" ht="26.25" customHeight="1">
      <c r="A7" s="218" t="s">
        <v>19</v>
      </c>
      <c r="B7" s="219" t="s">
        <v>473</v>
      </c>
      <c r="C7" s="219" t="s">
        <v>474</v>
      </c>
      <c r="D7" s="219" t="s">
        <v>475</v>
      </c>
      <c r="E7" s="218" t="s">
        <v>20</v>
      </c>
      <c r="F7" s="220" t="s">
        <v>21</v>
      </c>
    </row>
    <row r="8" spans="1:6" ht="7.5" customHeight="1">
      <c r="A8" s="70"/>
      <c r="B8" s="70"/>
      <c r="C8" s="70"/>
      <c r="D8" s="70"/>
      <c r="E8" s="70"/>
      <c r="F8" s="2"/>
    </row>
    <row r="9" spans="1:7" ht="12.75">
      <c r="A9" s="5" t="s">
        <v>67</v>
      </c>
      <c r="B9" s="156">
        <v>3206005.26</v>
      </c>
      <c r="C9" s="156">
        <v>3164002</v>
      </c>
      <c r="D9" s="156">
        <v>3321462</v>
      </c>
      <c r="E9" s="156">
        <f aca="true" t="shared" si="0" ref="E9:E41">SUM(B9:D9)</f>
        <v>9691469.26</v>
      </c>
      <c r="F9" s="161">
        <f aca="true" t="shared" si="1" ref="F9:F40">(E9/$E$43)*100</f>
        <v>26.955510257168807</v>
      </c>
      <c r="G9" s="94"/>
    </row>
    <row r="10" spans="1:7" ht="12.75">
      <c r="A10" s="5" t="s">
        <v>68</v>
      </c>
      <c r="B10" s="156">
        <v>202100.34</v>
      </c>
      <c r="C10" s="156">
        <v>160303.95</v>
      </c>
      <c r="D10" s="156">
        <v>168672.73</v>
      </c>
      <c r="E10" s="156">
        <f t="shared" si="0"/>
        <v>531077.02</v>
      </c>
      <c r="F10" s="161">
        <f t="shared" si="1"/>
        <v>1.4771188636011465</v>
      </c>
      <c r="G10" s="135"/>
    </row>
    <row r="11" spans="1:7" ht="12.75">
      <c r="A11" s="5" t="s">
        <v>69</v>
      </c>
      <c r="B11" s="156">
        <v>1085729.84</v>
      </c>
      <c r="C11" s="156">
        <v>887125.81</v>
      </c>
      <c r="D11" s="156">
        <v>963180.4</v>
      </c>
      <c r="E11" s="156">
        <f t="shared" si="0"/>
        <v>2936036.0500000003</v>
      </c>
      <c r="F11" s="161">
        <f t="shared" si="1"/>
        <v>8.166186956588707</v>
      </c>
      <c r="G11" s="94"/>
    </row>
    <row r="12" spans="1:6" ht="12.75">
      <c r="A12" s="5" t="s">
        <v>125</v>
      </c>
      <c r="B12" s="156">
        <v>199722</v>
      </c>
      <c r="C12" s="156">
        <v>206739</v>
      </c>
      <c r="D12" s="156">
        <v>196083</v>
      </c>
      <c r="E12" s="156">
        <f t="shared" si="0"/>
        <v>602544</v>
      </c>
      <c r="F12" s="161">
        <f t="shared" si="1"/>
        <v>1.6758945972651749</v>
      </c>
    </row>
    <row r="13" spans="1:6" ht="12.75">
      <c r="A13" s="5" t="s">
        <v>70</v>
      </c>
      <c r="B13" s="156">
        <v>90272.04</v>
      </c>
      <c r="C13" s="156">
        <v>218070.54</v>
      </c>
      <c r="D13" s="156">
        <v>96933.36</v>
      </c>
      <c r="E13" s="156">
        <f t="shared" si="0"/>
        <v>405275.94</v>
      </c>
      <c r="F13" s="161">
        <f t="shared" si="1"/>
        <v>1.12722018350123</v>
      </c>
    </row>
    <row r="14" spans="1:6" ht="12.75">
      <c r="A14" s="5" t="s">
        <v>227</v>
      </c>
      <c r="B14" s="156">
        <v>359468.5</v>
      </c>
      <c r="C14" s="156">
        <v>200704.82</v>
      </c>
      <c r="D14" s="156">
        <v>167191.8</v>
      </c>
      <c r="E14" s="156">
        <f t="shared" si="0"/>
        <v>727365.1200000001</v>
      </c>
      <c r="F14" s="161">
        <f t="shared" si="1"/>
        <v>2.023067651237313</v>
      </c>
    </row>
    <row r="15" spans="1:6" ht="12.75">
      <c r="A15" s="5" t="s">
        <v>333</v>
      </c>
      <c r="B15" s="156">
        <v>8700</v>
      </c>
      <c r="C15" s="156">
        <v>102271.91</v>
      </c>
      <c r="D15" s="156">
        <v>42310.8</v>
      </c>
      <c r="E15" s="156">
        <f t="shared" si="0"/>
        <v>153282.71000000002</v>
      </c>
      <c r="F15" s="161">
        <f t="shared" si="1"/>
        <v>0.4263351150175998</v>
      </c>
    </row>
    <row r="16" spans="1:6" ht="12.75">
      <c r="A16" s="5" t="s">
        <v>228</v>
      </c>
      <c r="B16" s="156">
        <v>26000</v>
      </c>
      <c r="C16" s="156">
        <v>26000</v>
      </c>
      <c r="D16" s="156">
        <v>29000</v>
      </c>
      <c r="E16" s="156">
        <f t="shared" si="0"/>
        <v>81000</v>
      </c>
      <c r="F16" s="161">
        <f t="shared" si="1"/>
        <v>0.22529053874651336</v>
      </c>
    </row>
    <row r="17" spans="1:6" ht="12.75">
      <c r="A17" s="5" t="s">
        <v>534</v>
      </c>
      <c r="B17" s="156">
        <v>124418.1</v>
      </c>
      <c r="C17" s="156">
        <v>77330.51</v>
      </c>
      <c r="D17" s="156">
        <v>80353.2</v>
      </c>
      <c r="E17" s="156">
        <f t="shared" si="0"/>
        <v>282101.81</v>
      </c>
      <c r="F17" s="161">
        <f t="shared" si="1"/>
        <v>0.7846280093366242</v>
      </c>
    </row>
    <row r="18" spans="1:6" ht="12.75">
      <c r="A18" s="5" t="s">
        <v>71</v>
      </c>
      <c r="B18" s="156">
        <v>541720</v>
      </c>
      <c r="C18" s="156">
        <v>801560</v>
      </c>
      <c r="D18" s="156">
        <v>349568.32</v>
      </c>
      <c r="E18" s="156">
        <f t="shared" si="0"/>
        <v>1692848.32</v>
      </c>
      <c r="F18" s="161">
        <f t="shared" si="1"/>
        <v>4.708428518875681</v>
      </c>
    </row>
    <row r="19" spans="1:6" ht="12.75">
      <c r="A19" s="5" t="s">
        <v>271</v>
      </c>
      <c r="B19" s="156">
        <v>128700</v>
      </c>
      <c r="C19" s="156">
        <v>177486</v>
      </c>
      <c r="D19" s="156">
        <v>248878.44</v>
      </c>
      <c r="E19" s="156">
        <f t="shared" si="0"/>
        <v>555064.44</v>
      </c>
      <c r="F19" s="161">
        <f t="shared" si="1"/>
        <v>1.5438366262547127</v>
      </c>
    </row>
    <row r="20" spans="1:6" ht="12.75">
      <c r="A20" s="5" t="s">
        <v>275</v>
      </c>
      <c r="B20" s="156">
        <v>199509.99</v>
      </c>
      <c r="C20" s="156">
        <v>148759.99</v>
      </c>
      <c r="D20" s="156">
        <v>147019.99</v>
      </c>
      <c r="E20" s="156">
        <f t="shared" si="0"/>
        <v>495289.97</v>
      </c>
      <c r="F20" s="161">
        <f t="shared" si="1"/>
        <v>1.377582026877092</v>
      </c>
    </row>
    <row r="21" spans="1:6" ht="12.75">
      <c r="A21" s="5" t="s">
        <v>72</v>
      </c>
      <c r="B21" s="156">
        <v>394455.81</v>
      </c>
      <c r="C21" s="156">
        <v>520178.33</v>
      </c>
      <c r="D21" s="156">
        <v>573227.63</v>
      </c>
      <c r="E21" s="156">
        <f t="shared" si="0"/>
        <v>1487861.77</v>
      </c>
      <c r="F21" s="161">
        <f t="shared" si="1"/>
        <v>4.13828616967458</v>
      </c>
    </row>
    <row r="22" spans="1:6" ht="12.75">
      <c r="A22" s="5" t="s">
        <v>73</v>
      </c>
      <c r="B22" s="156">
        <v>17400</v>
      </c>
      <c r="C22" s="156">
        <v>603450.52</v>
      </c>
      <c r="D22" s="156">
        <v>56202</v>
      </c>
      <c r="E22" s="156">
        <f t="shared" si="0"/>
        <v>677052.52</v>
      </c>
      <c r="F22" s="161">
        <f t="shared" si="1"/>
        <v>1.883129962845488</v>
      </c>
    </row>
    <row r="23" spans="1:6" ht="12.75">
      <c r="A23" s="5" t="s">
        <v>121</v>
      </c>
      <c r="B23" s="156">
        <v>31226.03</v>
      </c>
      <c r="C23" s="156">
        <v>20043.11</v>
      </c>
      <c r="D23" s="156">
        <v>56260</v>
      </c>
      <c r="E23" s="156">
        <f t="shared" si="0"/>
        <v>107529.14</v>
      </c>
      <c r="F23" s="161">
        <f t="shared" si="1"/>
        <v>0.29907775162406497</v>
      </c>
    </row>
    <row r="24" spans="1:6" ht="12.75">
      <c r="A24" s="5" t="s">
        <v>426</v>
      </c>
      <c r="B24" s="156">
        <v>127400.28</v>
      </c>
      <c r="C24" s="156">
        <v>132147.85</v>
      </c>
      <c r="D24" s="156">
        <v>131211.47</v>
      </c>
      <c r="E24" s="156">
        <f t="shared" si="0"/>
        <v>390759.6</v>
      </c>
      <c r="F24" s="161">
        <f t="shared" si="1"/>
        <v>1.0868449482021243</v>
      </c>
    </row>
    <row r="25" spans="1:6" ht="12.75">
      <c r="A25" s="5" t="s">
        <v>490</v>
      </c>
      <c r="B25" s="156"/>
      <c r="C25" s="156">
        <v>899060.48</v>
      </c>
      <c r="D25" s="156">
        <v>776884.48</v>
      </c>
      <c r="E25" s="156">
        <f t="shared" si="0"/>
        <v>1675944.96</v>
      </c>
      <c r="F25" s="161">
        <f>(E25/$E$43)*100</f>
        <v>4.661414110467948</v>
      </c>
    </row>
    <row r="26" spans="1:6" ht="12.75">
      <c r="A26" s="5" t="s">
        <v>377</v>
      </c>
      <c r="B26" s="156">
        <v>96750</v>
      </c>
      <c r="C26" s="156"/>
      <c r="D26" s="156">
        <v>187500</v>
      </c>
      <c r="E26" s="156">
        <f t="shared" si="0"/>
        <v>284250</v>
      </c>
      <c r="F26" s="161">
        <f t="shared" si="1"/>
        <v>0.790602909119709</v>
      </c>
    </row>
    <row r="27" spans="1:7" ht="12.75">
      <c r="A27" s="5" t="s">
        <v>74</v>
      </c>
      <c r="B27" s="156">
        <v>1354313</v>
      </c>
      <c r="C27" s="156">
        <v>514988.1</v>
      </c>
      <c r="D27" s="156">
        <v>247519.36</v>
      </c>
      <c r="E27" s="156">
        <f t="shared" si="0"/>
        <v>2116820.46</v>
      </c>
      <c r="F27" s="161">
        <f t="shared" si="1"/>
        <v>5.887649652630151</v>
      </c>
      <c r="G27" s="212"/>
    </row>
    <row r="28" spans="1:7" ht="12.75">
      <c r="A28" s="5" t="s">
        <v>491</v>
      </c>
      <c r="B28" s="156"/>
      <c r="C28" s="156">
        <v>11568.05</v>
      </c>
      <c r="D28" s="156">
        <v>12145.7</v>
      </c>
      <c r="E28" s="156">
        <f t="shared" si="0"/>
        <v>23713.75</v>
      </c>
      <c r="F28" s="161">
        <f>(E28/$E$43)*100</f>
        <v>0.06595658658271768</v>
      </c>
      <c r="G28" s="212"/>
    </row>
    <row r="29" spans="1:6" ht="12.75">
      <c r="A29" s="5" t="s">
        <v>299</v>
      </c>
      <c r="B29" s="156">
        <v>678100</v>
      </c>
      <c r="C29" s="156">
        <v>743179</v>
      </c>
      <c r="D29" s="156">
        <v>663540</v>
      </c>
      <c r="E29" s="156">
        <f t="shared" si="0"/>
        <v>2084819</v>
      </c>
      <c r="F29" s="161">
        <f t="shared" si="1"/>
        <v>5.798641922209473</v>
      </c>
    </row>
    <row r="30" spans="1:7" ht="12.75">
      <c r="A30" s="5" t="s">
        <v>265</v>
      </c>
      <c r="B30" s="156">
        <v>604078</v>
      </c>
      <c r="C30" s="156">
        <v>49131</v>
      </c>
      <c r="D30" s="156">
        <v>875</v>
      </c>
      <c r="E30" s="156">
        <f t="shared" si="0"/>
        <v>654084</v>
      </c>
      <c r="F30" s="161">
        <f t="shared" si="1"/>
        <v>1.8192461326601788</v>
      </c>
      <c r="G30" s="62"/>
    </row>
    <row r="31" spans="1:6" ht="12.75">
      <c r="A31" s="5" t="s">
        <v>75</v>
      </c>
      <c r="B31" s="156">
        <v>2469968.5</v>
      </c>
      <c r="C31" s="156">
        <v>1022331.5</v>
      </c>
      <c r="D31" s="156">
        <f>827387-3210</f>
        <v>824177</v>
      </c>
      <c r="E31" s="156">
        <f t="shared" si="0"/>
        <v>4316477</v>
      </c>
      <c r="F31" s="161">
        <f t="shared" si="1"/>
        <v>12.005696652060912</v>
      </c>
    </row>
    <row r="32" spans="1:6" ht="12.75">
      <c r="A32" s="5" t="s">
        <v>261</v>
      </c>
      <c r="B32" s="156">
        <v>2404</v>
      </c>
      <c r="C32" s="156">
        <v>3198</v>
      </c>
      <c r="D32" s="156">
        <v>1513</v>
      </c>
      <c r="E32" s="156">
        <f t="shared" si="0"/>
        <v>7115</v>
      </c>
      <c r="F32" s="161">
        <f t="shared" si="1"/>
        <v>0.0197894096689067</v>
      </c>
    </row>
    <row r="33" spans="1:6" ht="12.75">
      <c r="A33" s="5" t="s">
        <v>235</v>
      </c>
      <c r="B33" s="156">
        <v>48800</v>
      </c>
      <c r="C33" s="156">
        <v>100565.24</v>
      </c>
      <c r="D33" s="156">
        <v>307600</v>
      </c>
      <c r="E33" s="156">
        <f t="shared" si="0"/>
        <v>456965.24</v>
      </c>
      <c r="F33" s="161">
        <f t="shared" si="1"/>
        <v>1.270986976642343</v>
      </c>
    </row>
    <row r="34" spans="1:6" ht="12.75">
      <c r="A34" s="5" t="s">
        <v>76</v>
      </c>
      <c r="B34" s="156">
        <v>41512</v>
      </c>
      <c r="C34" s="156">
        <v>293518.13</v>
      </c>
      <c r="D34" s="156">
        <v>165506.5</v>
      </c>
      <c r="E34" s="156">
        <f t="shared" si="0"/>
        <v>500536.63</v>
      </c>
      <c r="F34" s="161">
        <f t="shared" si="1"/>
        <v>1.3921749016674596</v>
      </c>
    </row>
    <row r="35" spans="1:6" ht="12.75">
      <c r="A35" s="5" t="s">
        <v>384</v>
      </c>
      <c r="B35" s="156">
        <v>239308</v>
      </c>
      <c r="C35" s="156">
        <v>101790</v>
      </c>
      <c r="D35" s="156"/>
      <c r="E35" s="156">
        <f t="shared" si="0"/>
        <v>341098</v>
      </c>
      <c r="F35" s="161">
        <f t="shared" si="1"/>
        <v>0.9487179282142991</v>
      </c>
    </row>
    <row r="36" spans="1:6" ht="12.75">
      <c r="A36" s="5" t="s">
        <v>494</v>
      </c>
      <c r="B36" s="156"/>
      <c r="C36" s="156"/>
      <c r="D36" s="156">
        <v>247660</v>
      </c>
      <c r="E36" s="156">
        <f t="shared" si="0"/>
        <v>247660</v>
      </c>
      <c r="F36" s="161">
        <f>(E36/$E$43)*100</f>
        <v>0.6888327756291543</v>
      </c>
    </row>
    <row r="37" spans="1:6" ht="12.75">
      <c r="A37" s="5" t="s">
        <v>309</v>
      </c>
      <c r="B37" s="156"/>
      <c r="C37" s="156">
        <v>293944</v>
      </c>
      <c r="D37" s="156">
        <v>360353.8</v>
      </c>
      <c r="E37" s="156">
        <f t="shared" si="0"/>
        <v>654297.8</v>
      </c>
      <c r="F37" s="161">
        <f t="shared" si="1"/>
        <v>1.8198407884278824</v>
      </c>
    </row>
    <row r="38" spans="1:6" ht="12.75">
      <c r="A38" s="5" t="s">
        <v>203</v>
      </c>
      <c r="B38" s="156">
        <v>516.29</v>
      </c>
      <c r="C38" s="156"/>
      <c r="D38" s="156">
        <v>13708.76</v>
      </c>
      <c r="E38" s="156">
        <f t="shared" si="0"/>
        <v>14225.05</v>
      </c>
      <c r="F38" s="161">
        <f t="shared" si="1"/>
        <v>0.03956505158266778</v>
      </c>
    </row>
    <row r="39" spans="1:6" ht="12.75">
      <c r="A39" s="5" t="s">
        <v>495</v>
      </c>
      <c r="B39" s="156"/>
      <c r="C39" s="156"/>
      <c r="D39" s="156">
        <v>52480</v>
      </c>
      <c r="E39" s="156">
        <f t="shared" si="0"/>
        <v>52480</v>
      </c>
      <c r="F39" s="161">
        <f>(E39/$E$43)*100</f>
        <v>0.1459660181903336</v>
      </c>
    </row>
    <row r="40" spans="1:6" ht="12.75">
      <c r="A40" s="5" t="s">
        <v>396</v>
      </c>
      <c r="B40" s="156">
        <v>842113.6</v>
      </c>
      <c r="C40" s="156">
        <v>64015.59</v>
      </c>
      <c r="D40" s="156">
        <v>783000</v>
      </c>
      <c r="E40" s="156">
        <f t="shared" si="0"/>
        <v>1689129.19</v>
      </c>
      <c r="F40" s="161">
        <f t="shared" si="1"/>
        <v>4.698084262068663</v>
      </c>
    </row>
    <row r="41" spans="1:6" ht="12.75">
      <c r="A41" s="5" t="s">
        <v>492</v>
      </c>
      <c r="B41" s="156"/>
      <c r="C41" s="156">
        <v>17400</v>
      </c>
      <c r="D41" s="156"/>
      <c r="E41" s="156">
        <f t="shared" si="0"/>
        <v>17400</v>
      </c>
      <c r="F41" s="161">
        <f>(E41/$E$43)*100</f>
        <v>0.04839574536036213</v>
      </c>
    </row>
    <row r="42" spans="1:6" ht="7.5" customHeight="1">
      <c r="A42" s="5"/>
      <c r="B42" s="156"/>
      <c r="C42" s="156"/>
      <c r="D42" s="156"/>
      <c r="E42" s="156"/>
      <c r="F42" s="161"/>
    </row>
    <row r="43" spans="1:6" ht="13.5" thickBot="1">
      <c r="A43" s="70" t="s">
        <v>107</v>
      </c>
      <c r="B43" s="159">
        <f>SUM(B9:B42)</f>
        <v>13120691.579999998</v>
      </c>
      <c r="C43" s="159">
        <f>SUM(C9:C42)</f>
        <v>11560863.430000002</v>
      </c>
      <c r="D43" s="159">
        <f>SUM(D9:D42)</f>
        <v>11272018.740000002</v>
      </c>
      <c r="E43" s="159">
        <f>SUM(E9:E42)</f>
        <v>35953573.74999999</v>
      </c>
      <c r="F43" s="160">
        <f>SUM(F9:F42)</f>
        <v>100.00000000000003</v>
      </c>
    </row>
    <row r="44" spans="1:6" ht="13.5" thickTop="1">
      <c r="A44" s="16"/>
      <c r="B44" s="108"/>
      <c r="C44" s="108"/>
      <c r="D44" s="108"/>
      <c r="E44" s="108"/>
      <c r="F44" s="164"/>
    </row>
  </sheetData>
  <sheetProtection/>
  <mergeCells count="5">
    <mergeCell ref="A5:F5"/>
    <mergeCell ref="E1:F1"/>
    <mergeCell ref="A2:F2"/>
    <mergeCell ref="A3:F3"/>
    <mergeCell ref="A4:F4"/>
  </mergeCells>
  <printOptions/>
  <pageMargins left="0.8661417322834646" right="0.5905511811023623" top="0.7874015748031497" bottom="0.7874015748031497" header="0" footer="0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J17" sqref="J17"/>
    </sheetView>
  </sheetViews>
  <sheetFormatPr defaultColWidth="11.421875" defaultRowHeight="12.75"/>
  <cols>
    <col min="1" max="1" width="37.28125" style="1" customWidth="1"/>
    <col min="2" max="5" width="12.7109375" style="22" customWidth="1"/>
    <col min="6" max="6" width="6.57421875" style="1" customWidth="1"/>
    <col min="7" max="7" width="2.57421875" style="1" customWidth="1"/>
    <col min="8" max="16384" width="11.421875" style="1" customWidth="1"/>
  </cols>
  <sheetData>
    <row r="1" spans="1:6" s="217" customFormat="1" ht="12.75">
      <c r="A1" s="214"/>
      <c r="B1" s="215"/>
      <c r="C1" s="215"/>
      <c r="D1" s="215"/>
      <c r="E1" s="289" t="s">
        <v>16</v>
      </c>
      <c r="F1" s="289"/>
    </row>
    <row r="2" spans="1:6" s="217" customFormat="1" ht="12.75">
      <c r="A2" s="288" t="s">
        <v>283</v>
      </c>
      <c r="B2" s="288"/>
      <c r="C2" s="288"/>
      <c r="D2" s="288"/>
      <c r="E2" s="288"/>
      <c r="F2" s="288"/>
    </row>
    <row r="3" spans="1:6" s="217" customFormat="1" ht="12.75">
      <c r="A3" s="290" t="s">
        <v>406</v>
      </c>
      <c r="B3" s="290"/>
      <c r="C3" s="290"/>
      <c r="D3" s="290"/>
      <c r="E3" s="290"/>
      <c r="F3" s="290"/>
    </row>
    <row r="4" spans="1:6" s="217" customFormat="1" ht="12.75">
      <c r="A4" s="288" t="s">
        <v>372</v>
      </c>
      <c r="B4" s="288"/>
      <c r="C4" s="288"/>
      <c r="D4" s="288"/>
      <c r="E4" s="288"/>
      <c r="F4" s="288"/>
    </row>
    <row r="5" spans="1:7" s="224" customFormat="1" ht="12.75">
      <c r="A5" s="287" t="s">
        <v>476</v>
      </c>
      <c r="B5" s="287"/>
      <c r="C5" s="287"/>
      <c r="D5" s="287"/>
      <c r="E5" s="287"/>
      <c r="F5" s="287"/>
      <c r="G5" s="223"/>
    </row>
    <row r="6" spans="1:7" ht="18.75" customHeight="1">
      <c r="A6" s="87"/>
      <c r="B6" s="87"/>
      <c r="C6" s="87"/>
      <c r="D6" s="87"/>
      <c r="E6" s="87"/>
      <c r="F6" s="87"/>
      <c r="G6" s="35"/>
    </row>
    <row r="7" spans="1:6" ht="26.25" customHeight="1">
      <c r="A7" s="218" t="s">
        <v>19</v>
      </c>
      <c r="B7" s="219" t="s">
        <v>473</v>
      </c>
      <c r="C7" s="219" t="s">
        <v>474</v>
      </c>
      <c r="D7" s="219" t="s">
        <v>475</v>
      </c>
      <c r="E7" s="218" t="s">
        <v>20</v>
      </c>
      <c r="F7" s="220" t="s">
        <v>21</v>
      </c>
    </row>
    <row r="8" ht="9" customHeight="1"/>
    <row r="9" spans="1:7" ht="15" customHeight="1">
      <c r="A9" s="5" t="s">
        <v>174</v>
      </c>
      <c r="B9" s="156">
        <f>'G.C.Op'!B89</f>
        <v>20159968.98</v>
      </c>
      <c r="C9" s="156">
        <f>'G.C.Op'!C89</f>
        <v>17163540.209999997</v>
      </c>
      <c r="D9" s="156">
        <f>'G.C.Op'!D89</f>
        <v>20304526.71</v>
      </c>
      <c r="E9" s="156">
        <f>SUM(B9:D9)</f>
        <v>57628035.9</v>
      </c>
      <c r="F9" s="161">
        <f>(E9/$E$15)*100</f>
        <v>51.477801532807334</v>
      </c>
      <c r="G9" s="64"/>
    </row>
    <row r="10" spans="1:7" ht="15" customHeight="1">
      <c r="A10" s="5" t="s">
        <v>133</v>
      </c>
      <c r="B10" s="156">
        <f>'G.C.Viat'!B53</f>
        <v>148540.64</v>
      </c>
      <c r="C10" s="156">
        <f>'G.C.Viat'!C53</f>
        <v>191117.77000000002</v>
      </c>
      <c r="D10" s="156">
        <f>'G.C.Viat'!D53</f>
        <v>575161.15</v>
      </c>
      <c r="E10" s="156">
        <f>SUM(B10:D10)</f>
        <v>914819.56</v>
      </c>
      <c r="F10" s="161">
        <f>(E10/$E$15)*100</f>
        <v>0.817187311914098</v>
      </c>
      <c r="G10" s="64"/>
    </row>
    <row r="11" spans="1:7" ht="15" customHeight="1">
      <c r="A11" s="281" t="s">
        <v>546</v>
      </c>
      <c r="B11" s="156">
        <f>'G.C.Ing.Prop'!B110</f>
        <v>16995312.08</v>
      </c>
      <c r="C11" s="156">
        <f>'G.C.Ing.Prop'!C110</f>
        <v>11293128.590000002</v>
      </c>
      <c r="D11" s="156">
        <f>'G.C.Ing.Prop'!D110</f>
        <v>13495959.630000003</v>
      </c>
      <c r="E11" s="156">
        <f>SUM(B11:D11)</f>
        <v>41784400.300000004</v>
      </c>
      <c r="F11" s="161">
        <f>(E11/$E$15)*100</f>
        <v>37.32504556537863</v>
      </c>
      <c r="G11" s="64"/>
    </row>
    <row r="12" spans="1:7" ht="15" customHeight="1">
      <c r="A12" s="5" t="s">
        <v>134</v>
      </c>
      <c r="B12" s="156">
        <f>'G.C.Donat'!B25</f>
        <v>856832.97</v>
      </c>
      <c r="C12" s="156">
        <f>'G.C.Donat'!C25</f>
        <v>931531.55</v>
      </c>
      <c r="D12" s="156">
        <f>'G.C.Donat'!D25</f>
        <v>1523812.24</v>
      </c>
      <c r="E12" s="156">
        <f>SUM(B12:D12)</f>
        <v>3312176.76</v>
      </c>
      <c r="F12" s="161">
        <f>(E12/$E$15)*100</f>
        <v>2.9586914637994255</v>
      </c>
      <c r="G12" s="64"/>
    </row>
    <row r="13" spans="1:7" ht="15" customHeight="1">
      <c r="A13" s="5" t="s">
        <v>175</v>
      </c>
      <c r="B13" s="156">
        <f>'G.C.Etiq'!B13</f>
        <v>4526027.92</v>
      </c>
      <c r="C13" s="156">
        <f>'G.C.Etiq'!C13</f>
        <v>192759.59</v>
      </c>
      <c r="D13" s="156">
        <f>'G.C.Etiq'!D13</f>
        <v>3589132.39</v>
      </c>
      <c r="E13" s="156">
        <f>SUM(B13:D13)</f>
        <v>8307919.9</v>
      </c>
      <c r="F13" s="161">
        <f>(E13/$E$15)*100</f>
        <v>7.421274126100498</v>
      </c>
      <c r="G13" s="64"/>
    </row>
    <row r="14" spans="1:7" ht="9" customHeight="1">
      <c r="A14" s="5"/>
      <c r="B14" s="156"/>
      <c r="C14" s="156"/>
      <c r="D14" s="156"/>
      <c r="E14" s="156"/>
      <c r="F14" s="161"/>
      <c r="G14" s="64"/>
    </row>
    <row r="15" spans="1:7" ht="15" customHeight="1" thickBot="1">
      <c r="A15" s="70" t="s">
        <v>107</v>
      </c>
      <c r="B15" s="159">
        <f>SUM(B9:B13)</f>
        <v>42686682.59</v>
      </c>
      <c r="C15" s="159">
        <f>SUM(C9:C13)</f>
        <v>29772077.71</v>
      </c>
      <c r="D15" s="159">
        <f>SUM(D9:D13)</f>
        <v>39488592.120000005</v>
      </c>
      <c r="E15" s="159">
        <f>SUM(E9:E13)</f>
        <v>111947352.42000002</v>
      </c>
      <c r="F15" s="160">
        <f>SUM(F9:F13)</f>
        <v>99.99999999999999</v>
      </c>
      <c r="G15" s="64" t="s">
        <v>23</v>
      </c>
    </row>
    <row r="16" spans="1:7" ht="13.5" thickTop="1">
      <c r="A16" s="16"/>
      <c r="B16" s="108"/>
      <c r="C16" s="108"/>
      <c r="D16" s="108"/>
      <c r="E16" s="108"/>
      <c r="F16" s="164"/>
      <c r="G16" s="63"/>
    </row>
    <row r="31" ht="12.75">
      <c r="A31" s="8"/>
    </row>
    <row r="34" ht="12.75">
      <c r="A34" s="8" t="s">
        <v>55</v>
      </c>
    </row>
    <row r="35" ht="8.25" customHeight="1">
      <c r="A35" s="65"/>
    </row>
    <row r="36" spans="1:5" s="237" customFormat="1" ht="12">
      <c r="A36" s="79" t="s">
        <v>446</v>
      </c>
      <c r="B36" s="261"/>
      <c r="C36" s="261"/>
      <c r="D36" s="261"/>
      <c r="E36" s="261"/>
    </row>
    <row r="49" ht="12.75">
      <c r="A49" s="8"/>
    </row>
    <row r="50" spans="1:7" ht="12.75">
      <c r="A50" s="295"/>
      <c r="B50" s="296"/>
      <c r="C50" s="296"/>
      <c r="D50" s="296"/>
      <c r="E50" s="296"/>
      <c r="F50" s="296"/>
      <c r="G50" s="296"/>
    </row>
  </sheetData>
  <sheetProtection/>
  <mergeCells count="6">
    <mergeCell ref="A50:G50"/>
    <mergeCell ref="E1:F1"/>
    <mergeCell ref="A2:F2"/>
    <mergeCell ref="A3:F3"/>
    <mergeCell ref="A4:F4"/>
    <mergeCell ref="A5:F5"/>
  </mergeCells>
  <printOptions/>
  <pageMargins left="0.8661417322834646" right="0.5905511811023623" top="0.7874015748031497" bottom="0.984251968503937" header="0" footer="0"/>
  <pageSetup horizontalDpi="600" verticalDpi="600" orientation="portrait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46">
      <selection activeCell="L59" sqref="L59"/>
    </sheetView>
  </sheetViews>
  <sheetFormatPr defaultColWidth="11.421875" defaultRowHeight="12.75"/>
  <cols>
    <col min="1" max="1" width="46.8515625" style="1" customWidth="1"/>
    <col min="2" max="4" width="11.140625" style="22" customWidth="1"/>
    <col min="5" max="5" width="11.7109375" style="22" customWidth="1"/>
    <col min="6" max="6" width="6.8515625" style="1" customWidth="1"/>
    <col min="7" max="7" width="2.7109375" style="1" customWidth="1"/>
    <col min="8" max="16384" width="11.421875" style="1" customWidth="1"/>
  </cols>
  <sheetData>
    <row r="1" spans="1:6" s="217" customFormat="1" ht="12.75">
      <c r="A1" s="214"/>
      <c r="B1" s="215"/>
      <c r="C1" s="215"/>
      <c r="D1" s="215"/>
      <c r="E1" s="289" t="s">
        <v>127</v>
      </c>
      <c r="F1" s="289"/>
    </row>
    <row r="2" spans="1:6" s="217" customFormat="1" ht="12.75">
      <c r="A2" s="288" t="s">
        <v>283</v>
      </c>
      <c r="B2" s="288"/>
      <c r="C2" s="288"/>
      <c r="D2" s="288"/>
      <c r="E2" s="288"/>
      <c r="F2" s="288"/>
    </row>
    <row r="3" spans="1:6" s="217" customFormat="1" ht="12.75">
      <c r="A3" s="290" t="s">
        <v>406</v>
      </c>
      <c r="B3" s="290"/>
      <c r="C3" s="290"/>
      <c r="D3" s="290"/>
      <c r="E3" s="290"/>
      <c r="F3" s="290"/>
    </row>
    <row r="4" spans="1:6" s="217" customFormat="1" ht="12.75">
      <c r="A4" s="288" t="s">
        <v>293</v>
      </c>
      <c r="B4" s="288"/>
      <c r="C4" s="288"/>
      <c r="D4" s="288"/>
      <c r="E4" s="288"/>
      <c r="F4" s="288"/>
    </row>
    <row r="5" spans="1:7" s="224" customFormat="1" ht="12.75">
      <c r="A5" s="287" t="s">
        <v>476</v>
      </c>
      <c r="B5" s="287"/>
      <c r="C5" s="287"/>
      <c r="D5" s="287"/>
      <c r="E5" s="287"/>
      <c r="F5" s="287"/>
      <c r="G5" s="223"/>
    </row>
    <row r="6" spans="1:6" ht="18.75" customHeight="1">
      <c r="A6" s="16"/>
      <c r="B6" s="16"/>
      <c r="C6" s="16"/>
      <c r="D6" s="16"/>
      <c r="E6" s="16"/>
      <c r="F6" s="16"/>
    </row>
    <row r="7" spans="1:6" ht="26.25" customHeight="1">
      <c r="A7" s="218" t="s">
        <v>19</v>
      </c>
      <c r="B7" s="219" t="s">
        <v>473</v>
      </c>
      <c r="C7" s="219" t="s">
        <v>474</v>
      </c>
      <c r="D7" s="219" t="s">
        <v>475</v>
      </c>
      <c r="E7" s="218" t="s">
        <v>20</v>
      </c>
      <c r="F7" s="220" t="s">
        <v>21</v>
      </c>
    </row>
    <row r="8" ht="9" customHeight="1"/>
    <row r="9" spans="1:6" ht="12" customHeight="1">
      <c r="A9" s="1" t="s">
        <v>77</v>
      </c>
      <c r="B9" s="165">
        <f>30000+57823.6</f>
        <v>87823.6</v>
      </c>
      <c r="C9" s="129">
        <v>85829.02</v>
      </c>
      <c r="D9" s="165">
        <f>30000+65000</f>
        <v>95000</v>
      </c>
      <c r="E9" s="129">
        <f aca="true" t="shared" si="0" ref="E9:E67">SUM(B9:D9)</f>
        <v>268652.62</v>
      </c>
      <c r="F9" s="130">
        <f aca="true" t="shared" si="1" ref="F9:F40">(E9/$E$89*100)</f>
        <v>0.46618389088634554</v>
      </c>
    </row>
    <row r="10" spans="1:6" ht="12" customHeight="1">
      <c r="A10" s="1" t="s">
        <v>347</v>
      </c>
      <c r="B10" s="165">
        <v>20000</v>
      </c>
      <c r="C10" s="165">
        <v>20000</v>
      </c>
      <c r="D10" s="165">
        <f>20000+35000</f>
        <v>55000</v>
      </c>
      <c r="E10" s="129">
        <f t="shared" si="0"/>
        <v>95000</v>
      </c>
      <c r="F10" s="130">
        <f t="shared" si="1"/>
        <v>0.16485031723942553</v>
      </c>
    </row>
    <row r="11" spans="1:6" ht="12" customHeight="1">
      <c r="A11" s="1" t="s">
        <v>300</v>
      </c>
      <c r="B11" s="165">
        <f>85000+67450.5</f>
        <v>152450.5</v>
      </c>
      <c r="C11" s="165">
        <f>85000+22000</f>
        <v>107000</v>
      </c>
      <c r="D11" s="165">
        <f>85000+39000</f>
        <v>124000</v>
      </c>
      <c r="E11" s="129">
        <f t="shared" si="0"/>
        <v>383450.5</v>
      </c>
      <c r="F11" s="130">
        <f t="shared" si="1"/>
        <v>0.6653888060064878</v>
      </c>
    </row>
    <row r="12" spans="1:6" ht="12" customHeight="1">
      <c r="A12" s="7" t="s">
        <v>499</v>
      </c>
      <c r="B12" s="165">
        <v>15000</v>
      </c>
      <c r="C12" s="165">
        <v>15000</v>
      </c>
      <c r="D12" s="165">
        <f>15000+30000</f>
        <v>45000</v>
      </c>
      <c r="E12" s="129">
        <f t="shared" si="0"/>
        <v>75000</v>
      </c>
      <c r="F12" s="130">
        <f t="shared" si="1"/>
        <v>0.1301449872942833</v>
      </c>
    </row>
    <row r="13" spans="1:6" ht="12" customHeight="1">
      <c r="A13" s="1" t="s">
        <v>171</v>
      </c>
      <c r="B13" s="165">
        <f>27000+30000</f>
        <v>57000</v>
      </c>
      <c r="C13" s="165">
        <f>27000+30000</f>
        <v>57000</v>
      </c>
      <c r="D13" s="165">
        <v>20000</v>
      </c>
      <c r="E13" s="129">
        <f t="shared" si="0"/>
        <v>134000</v>
      </c>
      <c r="F13" s="130">
        <f t="shared" si="1"/>
        <v>0.23252571063245284</v>
      </c>
    </row>
    <row r="14" spans="1:6" ht="12" customHeight="1">
      <c r="A14" s="1" t="s">
        <v>348</v>
      </c>
      <c r="B14" s="156">
        <f>5000+1832.99</f>
        <v>6832.99</v>
      </c>
      <c r="C14" s="165">
        <f>5000+10120</f>
        <v>15120</v>
      </c>
      <c r="D14" s="156">
        <f>5000+11778.12</f>
        <v>16778.120000000003</v>
      </c>
      <c r="E14" s="129">
        <f t="shared" si="0"/>
        <v>38731.11</v>
      </c>
      <c r="F14" s="130">
        <f t="shared" si="1"/>
        <v>0.06720879758457986</v>
      </c>
    </row>
    <row r="15" spans="1:6" ht="12" customHeight="1">
      <c r="A15" s="1" t="s">
        <v>349</v>
      </c>
      <c r="B15" s="165">
        <f>17000+38002</f>
        <v>55002</v>
      </c>
      <c r="C15" s="165">
        <v>17000</v>
      </c>
      <c r="D15" s="165">
        <f>17000+216920</f>
        <v>233920</v>
      </c>
      <c r="E15" s="129">
        <f t="shared" si="0"/>
        <v>305922</v>
      </c>
      <c r="F15" s="130">
        <f t="shared" si="1"/>
        <v>0.5308561973738899</v>
      </c>
    </row>
    <row r="16" spans="1:6" ht="12" customHeight="1">
      <c r="A16" s="6" t="s">
        <v>308</v>
      </c>
      <c r="B16" s="165">
        <f>21000+1451.27</f>
        <v>22451.27</v>
      </c>
      <c r="C16" s="165">
        <v>21000</v>
      </c>
      <c r="D16" s="165">
        <v>21000</v>
      </c>
      <c r="E16" s="129">
        <f t="shared" si="0"/>
        <v>64451.270000000004</v>
      </c>
      <c r="F16" s="130">
        <f t="shared" si="1"/>
        <v>0.1118401295366723</v>
      </c>
    </row>
    <row r="17" spans="1:6" ht="12" customHeight="1">
      <c r="A17" s="6" t="s">
        <v>215</v>
      </c>
      <c r="B17" s="165">
        <v>5000</v>
      </c>
      <c r="C17" s="165">
        <v>5000</v>
      </c>
      <c r="D17" s="165">
        <v>5000</v>
      </c>
      <c r="E17" s="129">
        <f t="shared" si="0"/>
        <v>15000</v>
      </c>
      <c r="F17" s="130">
        <f t="shared" si="1"/>
        <v>0.026028997458856663</v>
      </c>
    </row>
    <row r="18" spans="1:6" ht="12" customHeight="1">
      <c r="A18" s="6" t="s">
        <v>78</v>
      </c>
      <c r="B18" s="165">
        <v>10000</v>
      </c>
      <c r="C18" s="165">
        <f>10000+5000</f>
        <v>15000</v>
      </c>
      <c r="D18" s="165">
        <f>10000+26913.48</f>
        <v>36913.479999999996</v>
      </c>
      <c r="E18" s="129">
        <f t="shared" si="0"/>
        <v>61913.479999999996</v>
      </c>
      <c r="F18" s="130">
        <f t="shared" si="1"/>
        <v>0.10743638757259819</v>
      </c>
    </row>
    <row r="19" spans="1:6" ht="12" customHeight="1">
      <c r="A19" s="6" t="s">
        <v>79</v>
      </c>
      <c r="B19" s="165"/>
      <c r="C19" s="165">
        <v>20000</v>
      </c>
      <c r="D19" s="165"/>
      <c r="E19" s="129">
        <f t="shared" si="0"/>
        <v>20000</v>
      </c>
      <c r="F19" s="130">
        <f t="shared" si="1"/>
        <v>0.034705329945142215</v>
      </c>
    </row>
    <row r="20" spans="1:6" ht="12" customHeight="1">
      <c r="A20" s="6" t="s">
        <v>386</v>
      </c>
      <c r="B20" s="165"/>
      <c r="C20" s="165">
        <v>6000</v>
      </c>
      <c r="D20" s="165"/>
      <c r="E20" s="129">
        <f t="shared" si="0"/>
        <v>6000</v>
      </c>
      <c r="F20" s="130">
        <f t="shared" si="1"/>
        <v>0.010411598983542663</v>
      </c>
    </row>
    <row r="21" spans="1:6" ht="12" customHeight="1">
      <c r="A21" s="6" t="s">
        <v>404</v>
      </c>
      <c r="B21" s="165">
        <v>8700</v>
      </c>
      <c r="C21" s="165">
        <v>8700</v>
      </c>
      <c r="D21" s="165">
        <v>8700</v>
      </c>
      <c r="E21" s="129">
        <f t="shared" si="0"/>
        <v>26100</v>
      </c>
      <c r="F21" s="130">
        <f t="shared" si="1"/>
        <v>0.04529045557841059</v>
      </c>
    </row>
    <row r="22" spans="1:6" ht="12" customHeight="1">
      <c r="A22" s="6" t="s">
        <v>176</v>
      </c>
      <c r="B22" s="165">
        <f>8000+27000</f>
        <v>35000</v>
      </c>
      <c r="C22" s="165">
        <f>8000+12000</f>
        <v>20000</v>
      </c>
      <c r="D22" s="165">
        <f>8000+42000</f>
        <v>50000</v>
      </c>
      <c r="E22" s="129">
        <f t="shared" si="0"/>
        <v>105000</v>
      </c>
      <c r="F22" s="130">
        <f t="shared" si="1"/>
        <v>0.18220298221199663</v>
      </c>
    </row>
    <row r="23" spans="1:6" ht="12" customHeight="1">
      <c r="A23" s="6" t="s">
        <v>148</v>
      </c>
      <c r="B23" s="165">
        <v>40000</v>
      </c>
      <c r="C23" s="165">
        <f>40000+32352</f>
        <v>72352</v>
      </c>
      <c r="D23" s="165">
        <v>40000</v>
      </c>
      <c r="E23" s="129">
        <f t="shared" si="0"/>
        <v>152352</v>
      </c>
      <c r="F23" s="130">
        <f t="shared" si="1"/>
        <v>0.2643713213901154</v>
      </c>
    </row>
    <row r="24" spans="1:6" ht="12" customHeight="1">
      <c r="A24" s="6" t="s">
        <v>80</v>
      </c>
      <c r="B24" s="165">
        <f>30000+317787.4</f>
        <v>347787.4</v>
      </c>
      <c r="C24" s="165">
        <f>30000+1288741.74</f>
        <v>1318741.74</v>
      </c>
      <c r="D24" s="165">
        <f>30000+2050113.32</f>
        <v>2080113.32</v>
      </c>
      <c r="E24" s="129">
        <f t="shared" si="0"/>
        <v>3746642.46</v>
      </c>
      <c r="F24" s="130">
        <f t="shared" si="1"/>
        <v>6.501423138038964</v>
      </c>
    </row>
    <row r="25" spans="1:6" ht="12" customHeight="1">
      <c r="A25" s="6" t="s">
        <v>81</v>
      </c>
      <c r="B25" s="165">
        <v>10000</v>
      </c>
      <c r="C25" s="165">
        <v>10000</v>
      </c>
      <c r="D25" s="165"/>
      <c r="E25" s="129">
        <f t="shared" si="0"/>
        <v>20000</v>
      </c>
      <c r="F25" s="130">
        <f t="shared" si="1"/>
        <v>0.034705329945142215</v>
      </c>
    </row>
    <row r="26" spans="1:6" ht="12" customHeight="1">
      <c r="A26" s="1" t="s">
        <v>266</v>
      </c>
      <c r="B26" s="165">
        <v>120000</v>
      </c>
      <c r="C26" s="165">
        <f>60000+249400</f>
        <v>309400</v>
      </c>
      <c r="D26" s="165">
        <f>60000+13500</f>
        <v>73500</v>
      </c>
      <c r="E26" s="129">
        <f t="shared" si="0"/>
        <v>502900</v>
      </c>
      <c r="F26" s="130">
        <f t="shared" si="1"/>
        <v>0.872665521470601</v>
      </c>
    </row>
    <row r="27" spans="1:6" ht="12" customHeight="1">
      <c r="A27" s="6" t="s">
        <v>326</v>
      </c>
      <c r="B27" s="165">
        <v>5000</v>
      </c>
      <c r="C27" s="165">
        <v>5000</v>
      </c>
      <c r="D27" s="165">
        <f>5000+8000</f>
        <v>13000</v>
      </c>
      <c r="E27" s="129">
        <f t="shared" si="0"/>
        <v>23000</v>
      </c>
      <c r="F27" s="130">
        <f t="shared" si="1"/>
        <v>0.039911129436913544</v>
      </c>
    </row>
    <row r="28" spans="1:7" ht="12" customHeight="1">
      <c r="A28" s="1" t="s">
        <v>159</v>
      </c>
      <c r="B28" s="165">
        <v>25000</v>
      </c>
      <c r="C28" s="165">
        <f>25000+5562.78</f>
        <v>30562.78</v>
      </c>
      <c r="D28" s="165">
        <f>25000+35000</f>
        <v>60000</v>
      </c>
      <c r="E28" s="129">
        <f t="shared" si="0"/>
        <v>115562.78</v>
      </c>
      <c r="F28" s="130">
        <f t="shared" si="1"/>
        <v>0.20053222046389407</v>
      </c>
      <c r="G28" s="8"/>
    </row>
    <row r="29" spans="1:6" ht="12" customHeight="1">
      <c r="A29" s="1" t="s">
        <v>177</v>
      </c>
      <c r="B29" s="165">
        <f>7000+3000</f>
        <v>10000</v>
      </c>
      <c r="C29" s="165">
        <f>7000+3000</f>
        <v>10000</v>
      </c>
      <c r="D29" s="165">
        <f>7000+3000</f>
        <v>10000</v>
      </c>
      <c r="E29" s="129">
        <f t="shared" si="0"/>
        <v>30000</v>
      </c>
      <c r="F29" s="130">
        <f t="shared" si="1"/>
        <v>0.052057994917713325</v>
      </c>
    </row>
    <row r="30" spans="1:6" ht="12" customHeight="1">
      <c r="A30" s="1" t="s">
        <v>350</v>
      </c>
      <c r="B30" s="165"/>
      <c r="C30" s="165">
        <f>75000+475389.16</f>
        <v>550389.1599999999</v>
      </c>
      <c r="D30" s="165">
        <v>415000</v>
      </c>
      <c r="E30" s="129">
        <f t="shared" si="0"/>
        <v>965389.1599999999</v>
      </c>
      <c r="F30" s="130">
        <f t="shared" si="1"/>
        <v>1.6752074661631842</v>
      </c>
    </row>
    <row r="31" spans="1:6" ht="12" customHeight="1">
      <c r="A31" s="1" t="s">
        <v>423</v>
      </c>
      <c r="B31" s="165">
        <v>2000</v>
      </c>
      <c r="C31" s="165">
        <v>2000</v>
      </c>
      <c r="D31" s="165">
        <v>2000</v>
      </c>
      <c r="E31" s="129">
        <f t="shared" si="0"/>
        <v>6000</v>
      </c>
      <c r="F31" s="130">
        <f t="shared" si="1"/>
        <v>0.010411598983542663</v>
      </c>
    </row>
    <row r="32" spans="1:6" ht="12" customHeight="1">
      <c r="A32" s="1" t="s">
        <v>91</v>
      </c>
      <c r="B32" s="165">
        <f>8000+2513.72</f>
        <v>10513.72</v>
      </c>
      <c r="C32" s="165">
        <f>8000+21792.42</f>
        <v>29792.42</v>
      </c>
      <c r="D32" s="165">
        <f>8000+180.96</f>
        <v>8180.96</v>
      </c>
      <c r="E32" s="129">
        <f t="shared" si="0"/>
        <v>48487.1</v>
      </c>
      <c r="F32" s="130">
        <f t="shared" si="1"/>
        <v>0.08413804017915524</v>
      </c>
    </row>
    <row r="33" spans="1:6" ht="12" customHeight="1">
      <c r="A33" s="1" t="s">
        <v>373</v>
      </c>
      <c r="B33" s="165"/>
      <c r="C33" s="165"/>
      <c r="D33" s="165">
        <v>9561.51</v>
      </c>
      <c r="E33" s="129">
        <f t="shared" si="0"/>
        <v>9561.51</v>
      </c>
      <c r="F33" s="130">
        <f t="shared" si="1"/>
        <v>0.016591767966188838</v>
      </c>
    </row>
    <row r="34" spans="1:6" ht="12" customHeight="1">
      <c r="A34" s="1" t="s">
        <v>200</v>
      </c>
      <c r="B34" s="165">
        <f>5000+2500</f>
        <v>7500</v>
      </c>
      <c r="C34" s="156">
        <f>5000+2500</f>
        <v>7500</v>
      </c>
      <c r="D34" s="165">
        <f>5000+2500</f>
        <v>7500</v>
      </c>
      <c r="E34" s="129">
        <f t="shared" si="0"/>
        <v>22500</v>
      </c>
      <c r="F34" s="130">
        <f t="shared" si="1"/>
        <v>0.03904349618828499</v>
      </c>
    </row>
    <row r="35" spans="1:6" ht="12" customHeight="1">
      <c r="A35" s="1" t="s">
        <v>335</v>
      </c>
      <c r="B35" s="156">
        <v>6000</v>
      </c>
      <c r="C35" s="165">
        <f>6000-40000</f>
        <v>-34000</v>
      </c>
      <c r="D35" s="156">
        <v>6000</v>
      </c>
      <c r="E35" s="129">
        <f t="shared" si="0"/>
        <v>-22000</v>
      </c>
      <c r="F35" s="130">
        <f t="shared" si="1"/>
        <v>-0.03817586293965644</v>
      </c>
    </row>
    <row r="36" spans="1:6" ht="12" customHeight="1">
      <c r="A36" s="1" t="s">
        <v>178</v>
      </c>
      <c r="B36" s="165">
        <v>10000</v>
      </c>
      <c r="C36" s="165">
        <f>10000+461363.89</f>
        <v>471363.89</v>
      </c>
      <c r="D36" s="165">
        <f>10000+43008</f>
        <v>53008</v>
      </c>
      <c r="E36" s="129">
        <f t="shared" si="0"/>
        <v>534371.89</v>
      </c>
      <c r="F36" s="130">
        <f t="shared" si="1"/>
        <v>0.9272776377929621</v>
      </c>
    </row>
    <row r="37" spans="1:6" ht="12" customHeight="1">
      <c r="A37" s="1" t="s">
        <v>179</v>
      </c>
      <c r="B37" s="165">
        <v>300000</v>
      </c>
      <c r="C37" s="165">
        <f>300000+300000</f>
        <v>600000</v>
      </c>
      <c r="D37" s="165">
        <f>300000+1804448</f>
        <v>2104448</v>
      </c>
      <c r="E37" s="129">
        <f t="shared" si="0"/>
        <v>3004448</v>
      </c>
      <c r="F37" s="130">
        <f t="shared" si="1"/>
        <v>5.213517957151132</v>
      </c>
    </row>
    <row r="38" spans="1:6" ht="12" customHeight="1">
      <c r="A38" s="1" t="s">
        <v>262</v>
      </c>
      <c r="B38" s="165">
        <f>50000+2550000</f>
        <v>2600000</v>
      </c>
      <c r="C38" s="165">
        <f>50000+4613475.57</f>
        <v>4663475.57</v>
      </c>
      <c r="D38" s="165">
        <f>100000+5550000</f>
        <v>5650000</v>
      </c>
      <c r="E38" s="129">
        <f t="shared" si="0"/>
        <v>12913475.57</v>
      </c>
      <c r="F38" s="130">
        <f t="shared" si="1"/>
        <v>22.408321519769174</v>
      </c>
    </row>
    <row r="39" spans="1:6" ht="12" customHeight="1">
      <c r="A39" s="1" t="s">
        <v>139</v>
      </c>
      <c r="B39" s="165">
        <v>10000</v>
      </c>
      <c r="C39" s="165">
        <v>5000</v>
      </c>
      <c r="D39" s="165">
        <v>5000</v>
      </c>
      <c r="E39" s="129">
        <f t="shared" si="0"/>
        <v>20000</v>
      </c>
      <c r="F39" s="130">
        <f t="shared" si="1"/>
        <v>0.034705329945142215</v>
      </c>
    </row>
    <row r="40" spans="1:6" ht="12" customHeight="1">
      <c r="A40" s="1" t="s">
        <v>180</v>
      </c>
      <c r="B40" s="165">
        <v>13050429.62</v>
      </c>
      <c r="C40" s="165">
        <v>4302874.71</v>
      </c>
      <c r="D40" s="165">
        <v>3884067.38</v>
      </c>
      <c r="E40" s="129">
        <f t="shared" si="0"/>
        <v>21237371.709999997</v>
      </c>
      <c r="F40" s="130">
        <f t="shared" si="1"/>
        <v>36.85249961815895</v>
      </c>
    </row>
    <row r="41" spans="1:6" ht="12" customHeight="1">
      <c r="A41" s="1" t="s">
        <v>149</v>
      </c>
      <c r="B41" s="165">
        <f>7000+1107</f>
        <v>8107</v>
      </c>
      <c r="C41" s="165">
        <v>7000</v>
      </c>
      <c r="D41" s="165">
        <v>7000</v>
      </c>
      <c r="E41" s="129">
        <f t="shared" si="0"/>
        <v>22107</v>
      </c>
      <c r="F41" s="130">
        <f aca="true" t="shared" si="2" ref="F41:F72">(E41/$E$89*100)</f>
        <v>0.03836153645486295</v>
      </c>
    </row>
    <row r="42" spans="1:6" ht="12" customHeight="1">
      <c r="A42" s="1" t="s">
        <v>150</v>
      </c>
      <c r="B42" s="155">
        <v>34660.8</v>
      </c>
      <c r="C42" s="165">
        <f>5000+85885</f>
        <v>90885</v>
      </c>
      <c r="D42" s="155">
        <f>14000+86200</f>
        <v>100200</v>
      </c>
      <c r="E42" s="129">
        <f t="shared" si="0"/>
        <v>225745.8</v>
      </c>
      <c r="F42" s="130">
        <f t="shared" si="2"/>
        <v>0.3917291236365043</v>
      </c>
    </row>
    <row r="43" spans="1:6" ht="12" customHeight="1">
      <c r="A43" s="1" t="s">
        <v>216</v>
      </c>
      <c r="B43" s="155">
        <v>44000</v>
      </c>
      <c r="C43" s="165">
        <v>44000</v>
      </c>
      <c r="D43" s="155"/>
      <c r="E43" s="129">
        <f t="shared" si="0"/>
        <v>88000</v>
      </c>
      <c r="F43" s="130">
        <f t="shared" si="2"/>
        <v>0.15270345175862576</v>
      </c>
    </row>
    <row r="44" spans="1:6" ht="12" customHeight="1">
      <c r="A44" s="1" t="s">
        <v>82</v>
      </c>
      <c r="B44" s="165">
        <f>27500+293344.62</f>
        <v>320844.62</v>
      </c>
      <c r="C44" s="165">
        <f>27500+201739.95</f>
        <v>229239.95</v>
      </c>
      <c r="D44" s="165">
        <f>27500+803337.3</f>
        <v>830837.3</v>
      </c>
      <c r="E44" s="129">
        <f t="shared" si="0"/>
        <v>1380921.87</v>
      </c>
      <c r="F44" s="130">
        <f t="shared" si="2"/>
        <v>2.3962674563406394</v>
      </c>
    </row>
    <row r="45" spans="1:6" ht="12" customHeight="1">
      <c r="A45" s="1" t="s">
        <v>403</v>
      </c>
      <c r="B45" s="165"/>
      <c r="C45" s="165">
        <v>30000</v>
      </c>
      <c r="D45" s="165"/>
      <c r="E45" s="129">
        <f t="shared" si="0"/>
        <v>30000</v>
      </c>
      <c r="F45" s="130">
        <f t="shared" si="2"/>
        <v>0.052057994917713325</v>
      </c>
    </row>
    <row r="46" spans="1:6" ht="12" customHeight="1">
      <c r="A46" s="1" t="s">
        <v>387</v>
      </c>
      <c r="B46" s="165"/>
      <c r="C46" s="165">
        <f>5000+47980.26</f>
        <v>52980.26</v>
      </c>
      <c r="D46" s="165">
        <v>5000</v>
      </c>
      <c r="E46" s="129">
        <f t="shared" si="0"/>
        <v>57980.26</v>
      </c>
      <c r="F46" s="130">
        <f t="shared" si="2"/>
        <v>0.10061120268025658</v>
      </c>
    </row>
    <row r="47" spans="1:6" ht="12" customHeight="1">
      <c r="A47" s="1" t="s">
        <v>329</v>
      </c>
      <c r="B47" s="165">
        <v>10000</v>
      </c>
      <c r="C47" s="165">
        <v>10000</v>
      </c>
      <c r="D47" s="165">
        <v>10000</v>
      </c>
      <c r="E47" s="129">
        <f t="shared" si="0"/>
        <v>30000</v>
      </c>
      <c r="F47" s="130">
        <f t="shared" si="2"/>
        <v>0.052057994917713325</v>
      </c>
    </row>
    <row r="48" spans="1:6" ht="12" customHeight="1">
      <c r="A48" s="1" t="s">
        <v>151</v>
      </c>
      <c r="B48" s="165">
        <f>5000+44479.1</f>
        <v>49479.1</v>
      </c>
      <c r="C48" s="165">
        <f>5000+113147.57</f>
        <v>118147.57</v>
      </c>
      <c r="D48" s="165">
        <f>5000+16136</f>
        <v>21136</v>
      </c>
      <c r="E48" s="129">
        <f t="shared" si="0"/>
        <v>188762.67</v>
      </c>
      <c r="F48" s="130">
        <f t="shared" si="2"/>
        <v>0.3275535371837999</v>
      </c>
    </row>
    <row r="49" spans="1:6" ht="12" customHeight="1">
      <c r="A49" s="1" t="s">
        <v>351</v>
      </c>
      <c r="B49" s="165">
        <v>12000</v>
      </c>
      <c r="C49" s="165">
        <v>12000</v>
      </c>
      <c r="D49" s="165">
        <v>12000</v>
      </c>
      <c r="E49" s="129">
        <f t="shared" si="0"/>
        <v>36000</v>
      </c>
      <c r="F49" s="130">
        <f t="shared" si="2"/>
        <v>0.06246959390125598</v>
      </c>
    </row>
    <row r="50" spans="1:6" ht="12" customHeight="1">
      <c r="A50" s="1" t="s">
        <v>195</v>
      </c>
      <c r="B50" s="165">
        <v>8000</v>
      </c>
      <c r="C50" s="165">
        <v>8000</v>
      </c>
      <c r="D50" s="165">
        <v>8000</v>
      </c>
      <c r="E50" s="129">
        <f t="shared" si="0"/>
        <v>24000</v>
      </c>
      <c r="F50" s="130">
        <f t="shared" si="2"/>
        <v>0.04164639593417065</v>
      </c>
    </row>
    <row r="51" spans="1:6" ht="12" customHeight="1">
      <c r="A51" s="1" t="s">
        <v>83</v>
      </c>
      <c r="B51" s="165">
        <f>7500+23000</f>
        <v>30500</v>
      </c>
      <c r="C51" s="165">
        <v>7500</v>
      </c>
      <c r="D51" s="165">
        <v>7500</v>
      </c>
      <c r="E51" s="129">
        <f t="shared" si="0"/>
        <v>45500</v>
      </c>
      <c r="F51" s="130">
        <f t="shared" si="2"/>
        <v>0.07895462562519853</v>
      </c>
    </row>
    <row r="52" spans="1:6" ht="12" customHeight="1">
      <c r="A52" s="1" t="s">
        <v>123</v>
      </c>
      <c r="B52" s="165">
        <f>10000+5000</f>
        <v>15000</v>
      </c>
      <c r="C52" s="165">
        <f>10000+7912.15</f>
        <v>17912.15</v>
      </c>
      <c r="D52" s="165">
        <f>10000+13079</f>
        <v>23079</v>
      </c>
      <c r="E52" s="129">
        <f t="shared" si="0"/>
        <v>55991.15</v>
      </c>
      <c r="F52" s="130">
        <f t="shared" si="2"/>
        <v>0.09715956673789748</v>
      </c>
    </row>
    <row r="53" spans="1:6" ht="12" customHeight="1">
      <c r="A53" s="1" t="s">
        <v>84</v>
      </c>
      <c r="B53" s="165">
        <f>10000+17033.12</f>
        <v>27033.12</v>
      </c>
      <c r="C53" s="165">
        <v>10000</v>
      </c>
      <c r="D53" s="165">
        <f>10000+1600</f>
        <v>11600</v>
      </c>
      <c r="E53" s="129">
        <f t="shared" si="0"/>
        <v>48633.119999999995</v>
      </c>
      <c r="F53" s="130">
        <f t="shared" si="2"/>
        <v>0.08439142379308473</v>
      </c>
    </row>
    <row r="54" spans="1:6" ht="12" customHeight="1">
      <c r="A54" s="1" t="s">
        <v>152</v>
      </c>
      <c r="B54" s="165">
        <v>20000</v>
      </c>
      <c r="C54" s="165">
        <f>20000+6000</f>
        <v>26000</v>
      </c>
      <c r="D54" s="165">
        <v>20000</v>
      </c>
      <c r="E54" s="129">
        <f t="shared" si="0"/>
        <v>66000</v>
      </c>
      <c r="F54" s="130">
        <f t="shared" si="2"/>
        <v>0.11452758881896931</v>
      </c>
    </row>
    <row r="55" spans="1:6" ht="12" customHeight="1">
      <c r="A55" s="1" t="s">
        <v>138</v>
      </c>
      <c r="B55" s="165">
        <v>6000</v>
      </c>
      <c r="C55" s="165">
        <f>6000+4065</f>
        <v>10065</v>
      </c>
      <c r="D55" s="165">
        <f>6000+374764.8</f>
        <v>380764.8</v>
      </c>
      <c r="E55" s="129">
        <f t="shared" si="0"/>
        <v>396829.8</v>
      </c>
      <c r="F55" s="130">
        <f t="shared" si="2"/>
        <v>0.6886054570532398</v>
      </c>
    </row>
    <row r="56" spans="1:6" ht="12" customHeight="1">
      <c r="A56" s="1" t="s">
        <v>374</v>
      </c>
      <c r="B56" s="165">
        <v>7000</v>
      </c>
      <c r="C56" s="165"/>
      <c r="D56" s="165"/>
      <c r="E56" s="129">
        <f t="shared" si="0"/>
        <v>7000</v>
      </c>
      <c r="F56" s="130">
        <f t="shared" si="2"/>
        <v>0.012146865480799775</v>
      </c>
    </row>
    <row r="57" spans="1:6" ht="12" customHeight="1">
      <c r="A57" s="1" t="s">
        <v>135</v>
      </c>
      <c r="B57" s="165">
        <v>7000</v>
      </c>
      <c r="C57" s="165">
        <v>5000</v>
      </c>
      <c r="D57" s="165">
        <f>5000+2187.86</f>
        <v>7187.860000000001</v>
      </c>
      <c r="E57" s="129">
        <f t="shared" si="0"/>
        <v>19187.86</v>
      </c>
      <c r="F57" s="130">
        <f t="shared" si="2"/>
        <v>0.03329605061205983</v>
      </c>
    </row>
    <row r="58" spans="1:6" ht="12" customHeight="1">
      <c r="A58" s="1" t="s">
        <v>385</v>
      </c>
      <c r="B58" s="165">
        <v>5000</v>
      </c>
      <c r="C58" s="165">
        <f>5000+2500</f>
        <v>7500</v>
      </c>
      <c r="D58" s="165">
        <f>5000+2500</f>
        <v>7500</v>
      </c>
      <c r="E58" s="129">
        <f t="shared" si="0"/>
        <v>20000</v>
      </c>
      <c r="F58" s="130">
        <f t="shared" si="2"/>
        <v>0.034705329945142215</v>
      </c>
    </row>
    <row r="59" spans="1:6" ht="12" customHeight="1">
      <c r="A59" s="1" t="s">
        <v>153</v>
      </c>
      <c r="B59" s="165">
        <f>113500+716749.68</f>
        <v>830249.68</v>
      </c>
      <c r="C59" s="165">
        <f>113500+912455.5</f>
        <v>1025955.5</v>
      </c>
      <c r="D59" s="165">
        <f>120500+1133122</f>
        <v>1253622</v>
      </c>
      <c r="E59" s="129">
        <f t="shared" si="0"/>
        <v>3109827.18</v>
      </c>
      <c r="F59" s="130">
        <f t="shared" si="2"/>
        <v>5.396378917713559</v>
      </c>
    </row>
    <row r="60" spans="1:6" ht="12" customHeight="1">
      <c r="A60" s="1" t="s">
        <v>154</v>
      </c>
      <c r="B60" s="165">
        <v>5000</v>
      </c>
      <c r="C60" s="165">
        <v>5000</v>
      </c>
      <c r="D60" s="165">
        <v>5000</v>
      </c>
      <c r="E60" s="129">
        <f t="shared" si="0"/>
        <v>15000</v>
      </c>
      <c r="F60" s="130">
        <f t="shared" si="2"/>
        <v>0.026028997458856663</v>
      </c>
    </row>
    <row r="61" spans="1:6" ht="12" customHeight="1">
      <c r="A61" s="1" t="s">
        <v>535</v>
      </c>
      <c r="B61" s="165"/>
      <c r="C61" s="165">
        <v>10000</v>
      </c>
      <c r="D61" s="165"/>
      <c r="E61" s="129">
        <f t="shared" si="0"/>
        <v>10000</v>
      </c>
      <c r="F61" s="130">
        <f t="shared" si="2"/>
        <v>0.017352664972571107</v>
      </c>
    </row>
    <row r="62" spans="1:6" ht="12" customHeight="1">
      <c r="A62" s="1" t="s">
        <v>198</v>
      </c>
      <c r="B62" s="165">
        <f>250000+323812.1</f>
        <v>573812.1</v>
      </c>
      <c r="C62" s="165">
        <f>250000+690326.34</f>
        <v>940326.34</v>
      </c>
      <c r="D62" s="165">
        <f>250000+602551.71</f>
        <v>852551.71</v>
      </c>
      <c r="E62" s="129">
        <f t="shared" si="0"/>
        <v>2366690.15</v>
      </c>
      <c r="F62" s="130">
        <f t="shared" si="2"/>
        <v>4.106838126683406</v>
      </c>
    </row>
    <row r="63" spans="1:6" ht="12" customHeight="1">
      <c r="A63" s="1" t="s">
        <v>501</v>
      </c>
      <c r="B63" s="165"/>
      <c r="C63" s="165"/>
      <c r="D63" s="165">
        <v>16000</v>
      </c>
      <c r="E63" s="129">
        <f t="shared" si="0"/>
        <v>16000</v>
      </c>
      <c r="F63" s="130">
        <f t="shared" si="2"/>
        <v>0.02776426395611377</v>
      </c>
    </row>
    <row r="64" spans="1:6" ht="12" customHeight="1">
      <c r="A64" s="1" t="s">
        <v>141</v>
      </c>
      <c r="B64" s="165">
        <f>200000+659911.08</f>
        <v>859911.08</v>
      </c>
      <c r="C64" s="165">
        <f>200000+931617.45</f>
        <v>1131617.45</v>
      </c>
      <c r="D64" s="165">
        <f>200000+1158398.54</f>
        <v>1358398.54</v>
      </c>
      <c r="E64" s="129">
        <f t="shared" si="0"/>
        <v>3349927.07</v>
      </c>
      <c r="F64" s="130">
        <f t="shared" si="2"/>
        <v>5.8130162128256755</v>
      </c>
    </row>
    <row r="65" spans="1:6" ht="12" customHeight="1">
      <c r="A65" s="1" t="s">
        <v>488</v>
      </c>
      <c r="B65" s="165"/>
      <c r="C65" s="165">
        <v>31325</v>
      </c>
      <c r="D65" s="165"/>
      <c r="E65" s="129">
        <f t="shared" si="0"/>
        <v>31325</v>
      </c>
      <c r="F65" s="130">
        <f t="shared" si="2"/>
        <v>0.05435722302657899</v>
      </c>
    </row>
    <row r="66" spans="1:6" ht="12" customHeight="1">
      <c r="A66" s="1" t="s">
        <v>86</v>
      </c>
      <c r="B66" s="165"/>
      <c r="C66" s="165"/>
      <c r="D66" s="165">
        <v>10000</v>
      </c>
      <c r="E66" s="129">
        <f t="shared" si="0"/>
        <v>10000</v>
      </c>
      <c r="F66" s="130">
        <f t="shared" si="2"/>
        <v>0.017352664972571107</v>
      </c>
    </row>
    <row r="67" spans="1:6" ht="12" customHeight="1">
      <c r="A67" s="1" t="s">
        <v>346</v>
      </c>
      <c r="B67" s="165"/>
      <c r="C67" s="165"/>
      <c r="D67" s="165">
        <v>10000</v>
      </c>
      <c r="E67" s="129">
        <f t="shared" si="0"/>
        <v>10000</v>
      </c>
      <c r="F67" s="130">
        <f t="shared" si="2"/>
        <v>0.017352664972571107</v>
      </c>
    </row>
    <row r="68" spans="1:6" ht="12" customHeight="1">
      <c r="A68" s="1" t="s">
        <v>547</v>
      </c>
      <c r="B68" s="156"/>
      <c r="C68" s="165"/>
      <c r="D68" s="156">
        <v>10000</v>
      </c>
      <c r="E68" s="129">
        <f aca="true" t="shared" si="3" ref="E68:E87">SUM(B68:D68)</f>
        <v>10000</v>
      </c>
      <c r="F68" s="130">
        <f t="shared" si="2"/>
        <v>0.017352664972571107</v>
      </c>
    </row>
    <row r="69" spans="1:6" ht="12" customHeight="1">
      <c r="A69" s="1" t="s">
        <v>88</v>
      </c>
      <c r="B69" s="156"/>
      <c r="C69" s="165">
        <v>24500</v>
      </c>
      <c r="D69" s="156"/>
      <c r="E69" s="129">
        <f t="shared" si="3"/>
        <v>24500</v>
      </c>
      <c r="F69" s="130">
        <f t="shared" si="2"/>
        <v>0.042514029182799215</v>
      </c>
    </row>
    <row r="70" spans="1:6" ht="12" customHeight="1">
      <c r="A70" s="1" t="s">
        <v>477</v>
      </c>
      <c r="B70" s="156">
        <v>206000</v>
      </c>
      <c r="C70" s="165"/>
      <c r="D70" s="156"/>
      <c r="E70" s="129">
        <f t="shared" si="3"/>
        <v>206000</v>
      </c>
      <c r="F70" s="130">
        <f t="shared" si="2"/>
        <v>0.3574648984349648</v>
      </c>
    </row>
    <row r="71" spans="1:6" ht="12" customHeight="1">
      <c r="A71" s="1" t="s">
        <v>360</v>
      </c>
      <c r="B71" s="156"/>
      <c r="C71" s="165"/>
      <c r="D71" s="156">
        <v>80000</v>
      </c>
      <c r="E71" s="129">
        <f t="shared" si="3"/>
        <v>80000</v>
      </c>
      <c r="F71" s="130">
        <f t="shared" si="2"/>
        <v>0.13882131978056886</v>
      </c>
    </row>
    <row r="72" spans="1:6" ht="12" customHeight="1">
      <c r="A72" s="1" t="s">
        <v>89</v>
      </c>
      <c r="B72" s="165">
        <f>100000-17534.12-8627.18-29408.32</f>
        <v>44430.38000000001</v>
      </c>
      <c r="C72" s="165">
        <v>100000</v>
      </c>
      <c r="D72" s="165">
        <v>100000</v>
      </c>
      <c r="E72" s="129">
        <f t="shared" si="3"/>
        <v>244430.38</v>
      </c>
      <c r="F72" s="130">
        <f t="shared" si="2"/>
        <v>0.42415184932582456</v>
      </c>
    </row>
    <row r="73" spans="1:6" ht="12" customHeight="1">
      <c r="A73" s="1" t="s">
        <v>536</v>
      </c>
      <c r="B73" s="165">
        <v>10125</v>
      </c>
      <c r="C73" s="165"/>
      <c r="D73" s="165"/>
      <c r="E73" s="129">
        <f t="shared" si="3"/>
        <v>10125</v>
      </c>
      <c r="F73" s="130">
        <f aca="true" t="shared" si="4" ref="F73:F87">(E73/$E$89*100)</f>
        <v>0.017569573284728246</v>
      </c>
    </row>
    <row r="74" spans="1:6" ht="12" customHeight="1">
      <c r="A74" s="1" t="s">
        <v>537</v>
      </c>
      <c r="B74" s="165">
        <v>10125</v>
      </c>
      <c r="C74" s="165"/>
      <c r="D74" s="165"/>
      <c r="E74" s="129">
        <f t="shared" si="3"/>
        <v>10125</v>
      </c>
      <c r="F74" s="130">
        <f t="shared" si="4"/>
        <v>0.017569573284728246</v>
      </c>
    </row>
    <row r="75" spans="1:6" ht="12" customHeight="1">
      <c r="A75" s="1" t="s">
        <v>202</v>
      </c>
      <c r="B75" s="165">
        <v>10000</v>
      </c>
      <c r="C75" s="165">
        <v>46000</v>
      </c>
      <c r="D75" s="165"/>
      <c r="E75" s="129">
        <f t="shared" si="3"/>
        <v>56000</v>
      </c>
      <c r="F75" s="130">
        <f t="shared" si="4"/>
        <v>0.0971749238463982</v>
      </c>
    </row>
    <row r="76" spans="1:6" ht="12" customHeight="1">
      <c r="A76" s="1" t="s">
        <v>93</v>
      </c>
      <c r="B76" s="156">
        <v>-49700</v>
      </c>
      <c r="C76" s="165">
        <v>134740</v>
      </c>
      <c r="D76" s="165"/>
      <c r="E76" s="129">
        <f t="shared" si="3"/>
        <v>85040</v>
      </c>
      <c r="F76" s="130">
        <f t="shared" si="4"/>
        <v>0.1475670629267447</v>
      </c>
    </row>
    <row r="77" spans="1:6" ht="12" customHeight="1">
      <c r="A77" s="1" t="s">
        <v>353</v>
      </c>
      <c r="B77" s="156"/>
      <c r="C77" s="165">
        <v>130351.57</v>
      </c>
      <c r="D77" s="165"/>
      <c r="E77" s="129">
        <f t="shared" si="3"/>
        <v>130351.57</v>
      </c>
      <c r="F77" s="130">
        <f t="shared" si="4"/>
        <v>0.2261947122858651</v>
      </c>
    </row>
    <row r="78" spans="1:6" ht="12" customHeight="1">
      <c r="A78" s="1" t="s">
        <v>354</v>
      </c>
      <c r="B78" s="156">
        <v>15000</v>
      </c>
      <c r="C78" s="165"/>
      <c r="D78" s="165"/>
      <c r="E78" s="129">
        <f t="shared" si="3"/>
        <v>15000</v>
      </c>
      <c r="F78" s="130">
        <f t="shared" si="4"/>
        <v>0.026028997458856663</v>
      </c>
    </row>
    <row r="79" spans="1:6" ht="12" customHeight="1">
      <c r="A79" s="1" t="s">
        <v>355</v>
      </c>
      <c r="B79" s="156"/>
      <c r="C79" s="165">
        <v>75000</v>
      </c>
      <c r="D79" s="165"/>
      <c r="E79" s="129">
        <f t="shared" si="3"/>
        <v>75000</v>
      </c>
      <c r="F79" s="130">
        <f t="shared" si="4"/>
        <v>0.1301449872942833</v>
      </c>
    </row>
    <row r="80" spans="1:6" ht="12" customHeight="1">
      <c r="A80" s="1" t="s">
        <v>263</v>
      </c>
      <c r="B80" s="156"/>
      <c r="C80" s="165"/>
      <c r="D80" s="165">
        <v>-10000</v>
      </c>
      <c r="E80" s="129">
        <f t="shared" si="3"/>
        <v>-10000</v>
      </c>
      <c r="F80" s="130">
        <f t="shared" si="4"/>
        <v>-0.017352664972571107</v>
      </c>
    </row>
    <row r="81" spans="1:6" ht="12" customHeight="1">
      <c r="A81" s="1" t="s">
        <v>137</v>
      </c>
      <c r="B81" s="156"/>
      <c r="C81" s="165">
        <v>9000</v>
      </c>
      <c r="D81" s="165"/>
      <c r="E81" s="129">
        <f t="shared" si="3"/>
        <v>9000</v>
      </c>
      <c r="F81" s="130">
        <f t="shared" si="4"/>
        <v>0.015617398475313996</v>
      </c>
    </row>
    <row r="82" spans="1:6" ht="12" customHeight="1">
      <c r="A82" s="1" t="s">
        <v>450</v>
      </c>
      <c r="B82" s="165">
        <v>900</v>
      </c>
      <c r="C82" s="165"/>
      <c r="D82" s="165"/>
      <c r="E82" s="129">
        <f t="shared" si="3"/>
        <v>900</v>
      </c>
      <c r="F82" s="130">
        <f t="shared" si="4"/>
        <v>0.0015617398475313998</v>
      </c>
    </row>
    <row r="83" spans="1:6" ht="12" customHeight="1">
      <c r="A83" s="1" t="s">
        <v>272</v>
      </c>
      <c r="B83" s="165"/>
      <c r="C83" s="165">
        <v>7600</v>
      </c>
      <c r="D83" s="165"/>
      <c r="E83" s="129">
        <f t="shared" si="3"/>
        <v>7600</v>
      </c>
      <c r="F83" s="130">
        <f t="shared" si="4"/>
        <v>0.013188025379154042</v>
      </c>
    </row>
    <row r="84" spans="1:6" ht="12" customHeight="1">
      <c r="A84" s="1" t="s">
        <v>538</v>
      </c>
      <c r="B84" s="165"/>
      <c r="C84" s="165">
        <v>2794.13</v>
      </c>
      <c r="D84" s="165"/>
      <c r="E84" s="129">
        <f t="shared" si="3"/>
        <v>2794.13</v>
      </c>
      <c r="F84" s="130">
        <f t="shared" si="4"/>
        <v>0.004848560177981011</v>
      </c>
    </row>
    <row r="85" spans="1:6" ht="12" customHeight="1">
      <c r="A85" s="1" t="s">
        <v>118</v>
      </c>
      <c r="B85" s="165"/>
      <c r="C85" s="165"/>
      <c r="D85" s="165">
        <v>4708.73</v>
      </c>
      <c r="E85" s="129">
        <f t="shared" si="3"/>
        <v>4708.73</v>
      </c>
      <c r="F85" s="130">
        <f t="shared" si="4"/>
        <v>0.008170901413629474</v>
      </c>
    </row>
    <row r="86" spans="1:6" ht="12" customHeight="1">
      <c r="A86" s="1" t="s">
        <v>298</v>
      </c>
      <c r="B86" s="165"/>
      <c r="C86" s="165"/>
      <c r="D86" s="165">
        <v>9750</v>
      </c>
      <c r="E86" s="129">
        <f t="shared" si="3"/>
        <v>9750</v>
      </c>
      <c r="F86" s="130">
        <f t="shared" si="4"/>
        <v>0.01691884834825683</v>
      </c>
    </row>
    <row r="87" spans="1:6" ht="12" customHeight="1">
      <c r="A87" s="1" t="s">
        <v>274</v>
      </c>
      <c r="B87" s="165">
        <v>10000</v>
      </c>
      <c r="C87" s="165">
        <f>10000+25999</f>
        <v>35999</v>
      </c>
      <c r="D87" s="165">
        <f>10000+10000</f>
        <v>20000</v>
      </c>
      <c r="E87" s="129">
        <f t="shared" si="3"/>
        <v>65999</v>
      </c>
      <c r="F87" s="130">
        <f t="shared" si="4"/>
        <v>0.11452585355247207</v>
      </c>
    </row>
    <row r="88" spans="1:6" ht="9" customHeight="1">
      <c r="A88" s="4"/>
      <c r="B88" s="211"/>
      <c r="C88" s="211"/>
      <c r="D88" s="211"/>
      <c r="E88" s="211"/>
      <c r="F88" s="211"/>
    </row>
    <row r="89" spans="1:6" ht="12" customHeight="1" thickBot="1">
      <c r="A89" s="4" t="s">
        <v>107</v>
      </c>
      <c r="B89" s="146">
        <f>SUM(B9:B88)</f>
        <v>20159968.98</v>
      </c>
      <c r="C89" s="146">
        <f>SUM(C9:C88)</f>
        <v>17163540.209999997</v>
      </c>
      <c r="D89" s="146">
        <f>SUM(D9:D88)</f>
        <v>20304526.71</v>
      </c>
      <c r="E89" s="146">
        <f>SUM(E9:E88)</f>
        <v>57628035.89999998</v>
      </c>
      <c r="F89" s="146">
        <f>SUM(F9:F88)</f>
        <v>100.00000000000006</v>
      </c>
    </row>
    <row r="90" spans="1:6" ht="12" customHeight="1" thickTop="1">
      <c r="A90" s="4"/>
      <c r="B90" s="211"/>
      <c r="C90" s="211"/>
      <c r="D90" s="211"/>
      <c r="E90" s="211"/>
      <c r="F90" s="211"/>
    </row>
    <row r="91" spans="2:6" ht="12.75">
      <c r="B91" s="164"/>
      <c r="C91" s="164"/>
      <c r="D91" s="166"/>
      <c r="E91" s="94"/>
      <c r="F91" s="94"/>
    </row>
    <row r="92" spans="1:6" ht="12.75">
      <c r="A92" s="67"/>
      <c r="B92" s="135"/>
      <c r="C92" s="135"/>
      <c r="D92" s="166"/>
      <c r="E92" s="94"/>
      <c r="F92" s="94"/>
    </row>
    <row r="93" spans="2:4" ht="12.75">
      <c r="B93" s="31"/>
      <c r="C93" s="31"/>
      <c r="D93" s="31"/>
    </row>
    <row r="94" spans="2:4" ht="12.75">
      <c r="B94" s="31"/>
      <c r="C94" s="31"/>
      <c r="D94" s="31"/>
    </row>
    <row r="95" spans="2:3" ht="12.75">
      <c r="B95" s="31"/>
      <c r="C95" s="31"/>
    </row>
    <row r="96" spans="2:3" ht="12.75">
      <c r="B96" s="31"/>
      <c r="C96" s="31"/>
    </row>
    <row r="97" spans="2:4" ht="12.75">
      <c r="B97" s="66"/>
      <c r="C97" s="66"/>
      <c r="D97" s="66"/>
    </row>
    <row r="98" spans="1:4" ht="12.75">
      <c r="A98" s="38"/>
      <c r="B98" s="31"/>
      <c r="C98" s="31"/>
      <c r="D98" s="31"/>
    </row>
  </sheetData>
  <sheetProtection/>
  <mergeCells count="5">
    <mergeCell ref="A5:F5"/>
    <mergeCell ref="E1:F1"/>
    <mergeCell ref="A2:F2"/>
    <mergeCell ref="A3:F3"/>
    <mergeCell ref="A4:F4"/>
  </mergeCells>
  <printOptions/>
  <pageMargins left="0.8661417322834646" right="0.5905511811023623" top="0.7874015748031497" bottom="0.7874015748031497" header="0" footer="0.3937007874015748"/>
  <pageSetup horizontalDpi="600" verticalDpi="600" orientation="portrait" scale="90" r:id="rId1"/>
  <headerFooter alignWithMargins="0">
    <oddFooter>&amp;R&amp;P de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PageLayoutView="0" workbookViewId="0" topLeftCell="A9">
      <selection activeCell="H33" sqref="H33"/>
    </sheetView>
  </sheetViews>
  <sheetFormatPr defaultColWidth="11.421875" defaultRowHeight="12.75"/>
  <cols>
    <col min="1" max="1" width="45.00390625" style="1" customWidth="1"/>
    <col min="2" max="5" width="10.8515625" style="22" customWidth="1"/>
    <col min="6" max="6" width="6.57421875" style="1" customWidth="1"/>
    <col min="7" max="16384" width="11.421875" style="1" customWidth="1"/>
  </cols>
  <sheetData>
    <row r="1" spans="1:6" s="217" customFormat="1" ht="12.75" customHeight="1">
      <c r="A1" s="214"/>
      <c r="B1" s="215"/>
      <c r="C1" s="215"/>
      <c r="D1" s="215"/>
      <c r="E1" s="289" t="s">
        <v>128</v>
      </c>
      <c r="F1" s="289"/>
    </row>
    <row r="2" spans="1:6" s="217" customFormat="1" ht="12.75" customHeight="1">
      <c r="A2" s="288" t="s">
        <v>283</v>
      </c>
      <c r="B2" s="288"/>
      <c r="C2" s="288"/>
      <c r="D2" s="288"/>
      <c r="E2" s="288"/>
      <c r="F2" s="288"/>
    </row>
    <row r="3" spans="1:6" s="217" customFormat="1" ht="12.75" customHeight="1">
      <c r="A3" s="290" t="s">
        <v>406</v>
      </c>
      <c r="B3" s="290"/>
      <c r="C3" s="290"/>
      <c r="D3" s="290"/>
      <c r="E3" s="290"/>
      <c r="F3" s="290"/>
    </row>
    <row r="4" spans="1:6" s="217" customFormat="1" ht="12.75" customHeight="1">
      <c r="A4" s="288" t="s">
        <v>294</v>
      </c>
      <c r="B4" s="288"/>
      <c r="C4" s="288"/>
      <c r="D4" s="288"/>
      <c r="E4" s="288"/>
      <c r="F4" s="288"/>
    </row>
    <row r="5" spans="1:7" s="224" customFormat="1" ht="12.75" customHeight="1">
      <c r="A5" s="287" t="s">
        <v>476</v>
      </c>
      <c r="B5" s="287"/>
      <c r="C5" s="287"/>
      <c r="D5" s="287"/>
      <c r="E5" s="287"/>
      <c r="F5" s="287"/>
      <c r="G5" s="223"/>
    </row>
    <row r="6" spans="1:6" ht="18.75" customHeight="1">
      <c r="A6" s="16"/>
      <c r="B6" s="16"/>
      <c r="C6" s="16"/>
      <c r="D6" s="16"/>
      <c r="E6" s="16"/>
      <c r="F6" s="16"/>
    </row>
    <row r="7" spans="1:6" ht="26.25" customHeight="1">
      <c r="A7" s="218" t="s">
        <v>19</v>
      </c>
      <c r="B7" s="219" t="s">
        <v>473</v>
      </c>
      <c r="C7" s="219" t="s">
        <v>474</v>
      </c>
      <c r="D7" s="219" t="s">
        <v>475</v>
      </c>
      <c r="E7" s="218" t="s">
        <v>20</v>
      </c>
      <c r="F7" s="220" t="s">
        <v>21</v>
      </c>
    </row>
    <row r="8" spans="1:6" ht="9" customHeight="1">
      <c r="A8" s="2"/>
      <c r="B8" s="23"/>
      <c r="C8" s="23"/>
      <c r="D8" s="23"/>
      <c r="E8" s="23"/>
      <c r="F8" s="2"/>
    </row>
    <row r="9" spans="1:7" ht="12" customHeight="1">
      <c r="A9" s="1" t="s">
        <v>77</v>
      </c>
      <c r="B9" s="135">
        <v>7616</v>
      </c>
      <c r="C9" s="135">
        <v>1600</v>
      </c>
      <c r="D9" s="135"/>
      <c r="E9" s="135">
        <f aca="true" t="shared" si="0" ref="E9:E51">SUM(B9:D9)</f>
        <v>9216</v>
      </c>
      <c r="F9" s="139">
        <f aca="true" t="shared" si="1" ref="F9:F51">(E9/$E$53*100)</f>
        <v>1.007411778558823</v>
      </c>
      <c r="G9" s="94"/>
    </row>
    <row r="10" spans="1:7" ht="12" customHeight="1">
      <c r="A10" s="7" t="s">
        <v>499</v>
      </c>
      <c r="B10" s="135"/>
      <c r="C10" s="135"/>
      <c r="D10" s="135">
        <v>12000</v>
      </c>
      <c r="E10" s="135">
        <f t="shared" si="0"/>
        <v>12000</v>
      </c>
      <c r="F10" s="139">
        <f t="shared" si="1"/>
        <v>1.3117340866651344</v>
      </c>
      <c r="G10" s="94"/>
    </row>
    <row r="11" spans="1:7" ht="12" customHeight="1">
      <c r="A11" s="1" t="s">
        <v>171</v>
      </c>
      <c r="B11" s="135"/>
      <c r="C11" s="135"/>
      <c r="D11" s="135">
        <v>2300</v>
      </c>
      <c r="E11" s="135">
        <f t="shared" si="0"/>
        <v>2300</v>
      </c>
      <c r="F11" s="139">
        <f t="shared" si="1"/>
        <v>0.2514156999441507</v>
      </c>
      <c r="G11" s="94"/>
    </row>
    <row r="12" spans="1:7" ht="12" customHeight="1">
      <c r="A12" s="1" t="s">
        <v>348</v>
      </c>
      <c r="B12" s="135"/>
      <c r="C12" s="135">
        <v>3200</v>
      </c>
      <c r="D12" s="135">
        <v>1800</v>
      </c>
      <c r="E12" s="135">
        <f t="shared" si="0"/>
        <v>5000</v>
      </c>
      <c r="F12" s="139">
        <f t="shared" si="1"/>
        <v>0.5465558694438059</v>
      </c>
      <c r="G12" s="94"/>
    </row>
    <row r="13" spans="1:7" ht="12" customHeight="1">
      <c r="A13" s="6" t="s">
        <v>78</v>
      </c>
      <c r="B13" s="167">
        <v>6150</v>
      </c>
      <c r="C13" s="167">
        <v>4100</v>
      </c>
      <c r="D13" s="167">
        <v>1700</v>
      </c>
      <c r="E13" s="135">
        <f t="shared" si="0"/>
        <v>11950</v>
      </c>
      <c r="F13" s="139">
        <f t="shared" si="1"/>
        <v>1.3062685279706963</v>
      </c>
      <c r="G13" s="94"/>
    </row>
    <row r="14" spans="1:7" ht="12" customHeight="1">
      <c r="A14" s="6" t="s">
        <v>79</v>
      </c>
      <c r="B14" s="167">
        <v>900</v>
      </c>
      <c r="C14" s="167">
        <v>18250</v>
      </c>
      <c r="D14" s="167">
        <v>2500</v>
      </c>
      <c r="E14" s="135">
        <f t="shared" si="0"/>
        <v>21650</v>
      </c>
      <c r="F14" s="139">
        <f t="shared" si="1"/>
        <v>2.3665869146916796</v>
      </c>
      <c r="G14" s="94"/>
    </row>
    <row r="15" spans="1:7" ht="12" customHeight="1">
      <c r="A15" s="6" t="s">
        <v>148</v>
      </c>
      <c r="B15" s="167">
        <v>42000</v>
      </c>
      <c r="C15" s="167"/>
      <c r="D15" s="167"/>
      <c r="E15" s="135">
        <f t="shared" si="0"/>
        <v>42000</v>
      </c>
      <c r="F15" s="139">
        <f t="shared" si="1"/>
        <v>4.591069303327969</v>
      </c>
      <c r="G15" s="94"/>
    </row>
    <row r="16" spans="1:7" ht="12" customHeight="1">
      <c r="A16" s="6" t="s">
        <v>80</v>
      </c>
      <c r="B16" s="167"/>
      <c r="C16" s="167">
        <v>5600</v>
      </c>
      <c r="D16" s="167">
        <v>30000</v>
      </c>
      <c r="E16" s="135">
        <f t="shared" si="0"/>
        <v>35600</v>
      </c>
      <c r="F16" s="139">
        <f t="shared" si="1"/>
        <v>3.8914777904398985</v>
      </c>
      <c r="G16" s="94"/>
    </row>
    <row r="17" spans="1:7" ht="12" customHeight="1">
      <c r="A17" s="1" t="s">
        <v>266</v>
      </c>
      <c r="B17" s="167"/>
      <c r="C17" s="167"/>
      <c r="D17" s="167">
        <v>5000</v>
      </c>
      <c r="E17" s="135">
        <f t="shared" si="0"/>
        <v>5000</v>
      </c>
      <c r="F17" s="139">
        <f t="shared" si="1"/>
        <v>0.5465558694438059</v>
      </c>
      <c r="G17" s="94"/>
    </row>
    <row r="18" spans="1:7" ht="12" customHeight="1">
      <c r="A18" s="1" t="s">
        <v>159</v>
      </c>
      <c r="B18" s="156"/>
      <c r="C18" s="167"/>
      <c r="D18" s="156">
        <v>5000</v>
      </c>
      <c r="E18" s="135">
        <f t="shared" si="0"/>
        <v>5000</v>
      </c>
      <c r="F18" s="139">
        <f t="shared" si="1"/>
        <v>0.5465558694438059</v>
      </c>
      <c r="G18" s="167"/>
    </row>
    <row r="19" spans="1:7" ht="12" customHeight="1">
      <c r="A19" s="1" t="s">
        <v>177</v>
      </c>
      <c r="B19" s="156"/>
      <c r="C19" s="167">
        <v>2000</v>
      </c>
      <c r="D19" s="156">
        <v>7500</v>
      </c>
      <c r="E19" s="135">
        <f t="shared" si="0"/>
        <v>9500</v>
      </c>
      <c r="F19" s="139">
        <f t="shared" si="1"/>
        <v>1.0384561519432312</v>
      </c>
      <c r="G19" s="167"/>
    </row>
    <row r="20" spans="1:7" ht="12" customHeight="1">
      <c r="A20" s="1" t="s">
        <v>350</v>
      </c>
      <c r="B20" s="156">
        <v>7700</v>
      </c>
      <c r="C20" s="167">
        <v>2000</v>
      </c>
      <c r="D20" s="156">
        <v>4800</v>
      </c>
      <c r="E20" s="135">
        <f t="shared" si="0"/>
        <v>14500</v>
      </c>
      <c r="F20" s="139">
        <f t="shared" si="1"/>
        <v>1.5850120213870371</v>
      </c>
      <c r="G20" s="167"/>
    </row>
    <row r="21" spans="1:7" ht="12" customHeight="1">
      <c r="A21" s="1" t="s">
        <v>217</v>
      </c>
      <c r="B21" s="167">
        <v>6000</v>
      </c>
      <c r="C21" s="167">
        <v>18850</v>
      </c>
      <c r="D21" s="167">
        <v>56229</v>
      </c>
      <c r="E21" s="135">
        <f t="shared" si="0"/>
        <v>81079</v>
      </c>
      <c r="F21" s="139">
        <f t="shared" si="1"/>
        <v>8.862840667726868</v>
      </c>
      <c r="G21" s="94"/>
    </row>
    <row r="22" spans="1:7" ht="12" customHeight="1">
      <c r="A22" s="1" t="s">
        <v>335</v>
      </c>
      <c r="B22" s="167"/>
      <c r="C22" s="167">
        <v>4000</v>
      </c>
      <c r="D22" s="167">
        <v>6000</v>
      </c>
      <c r="E22" s="135">
        <f t="shared" si="0"/>
        <v>10000</v>
      </c>
      <c r="F22" s="139">
        <f t="shared" si="1"/>
        <v>1.0931117388876117</v>
      </c>
      <c r="G22" s="94"/>
    </row>
    <row r="23" spans="1:7" ht="12" customHeight="1">
      <c r="A23" s="1" t="s">
        <v>178</v>
      </c>
      <c r="B23" s="167"/>
      <c r="C23" s="167">
        <v>7800</v>
      </c>
      <c r="D23" s="167">
        <v>62109.53</v>
      </c>
      <c r="E23" s="135">
        <f t="shared" si="0"/>
        <v>69909.53</v>
      </c>
      <c r="F23" s="139">
        <f t="shared" si="1"/>
        <v>7.641892790311566</v>
      </c>
      <c r="G23" s="94"/>
    </row>
    <row r="24" spans="1:7" ht="12" customHeight="1">
      <c r="A24" s="1" t="s">
        <v>179</v>
      </c>
      <c r="B24" s="167"/>
      <c r="C24" s="167"/>
      <c r="D24" s="167">
        <v>10000</v>
      </c>
      <c r="E24" s="135">
        <f t="shared" si="0"/>
        <v>10000</v>
      </c>
      <c r="F24" s="139">
        <f t="shared" si="1"/>
        <v>1.0931117388876117</v>
      </c>
      <c r="G24" s="94"/>
    </row>
    <row r="25" spans="1:7" ht="12" customHeight="1">
      <c r="A25" s="1" t="s">
        <v>139</v>
      </c>
      <c r="B25" s="167">
        <v>5800</v>
      </c>
      <c r="C25" s="167"/>
      <c r="D25" s="167">
        <v>9000</v>
      </c>
      <c r="E25" s="135">
        <f t="shared" si="0"/>
        <v>14800</v>
      </c>
      <c r="F25" s="139">
        <f t="shared" si="1"/>
        <v>1.6178053735536653</v>
      </c>
      <c r="G25" s="94"/>
    </row>
    <row r="26" spans="1:7" ht="12" customHeight="1">
      <c r="A26" s="1" t="s">
        <v>149</v>
      </c>
      <c r="B26" s="167">
        <v>2400</v>
      </c>
      <c r="C26" s="167">
        <v>3200</v>
      </c>
      <c r="D26" s="167">
        <v>2400</v>
      </c>
      <c r="E26" s="135">
        <f t="shared" si="0"/>
        <v>8000</v>
      </c>
      <c r="F26" s="139">
        <f t="shared" si="1"/>
        <v>0.8744893911100895</v>
      </c>
      <c r="G26" s="94"/>
    </row>
    <row r="27" spans="1:7" ht="12" customHeight="1">
      <c r="A27" s="1" t="s">
        <v>216</v>
      </c>
      <c r="B27" s="167"/>
      <c r="C27" s="167"/>
      <c r="D27" s="167">
        <v>13272.62</v>
      </c>
      <c r="E27" s="135">
        <f t="shared" si="0"/>
        <v>13272.62</v>
      </c>
      <c r="F27" s="139">
        <f t="shared" si="1"/>
        <v>1.4508456727794496</v>
      </c>
      <c r="G27" s="94"/>
    </row>
    <row r="28" spans="1:7" ht="12" customHeight="1">
      <c r="A28" s="1" t="s">
        <v>82</v>
      </c>
      <c r="B28" s="167">
        <v>1000</v>
      </c>
      <c r="C28" s="167">
        <v>6600</v>
      </c>
      <c r="D28" s="167">
        <v>600</v>
      </c>
      <c r="E28" s="135">
        <f t="shared" si="0"/>
        <v>8200</v>
      </c>
      <c r="F28" s="139">
        <f t="shared" si="1"/>
        <v>0.8963516258878417</v>
      </c>
      <c r="G28" s="94"/>
    </row>
    <row r="29" spans="1:7" ht="12" customHeight="1">
      <c r="A29" s="1" t="s">
        <v>151</v>
      </c>
      <c r="B29" s="167"/>
      <c r="C29" s="167">
        <v>14318.05</v>
      </c>
      <c r="D29" s="167"/>
      <c r="E29" s="135">
        <f t="shared" si="0"/>
        <v>14318.05</v>
      </c>
      <c r="F29" s="139">
        <f t="shared" si="1"/>
        <v>1.565122853297977</v>
      </c>
      <c r="G29" s="94"/>
    </row>
    <row r="30" spans="1:7" ht="12" customHeight="1">
      <c r="A30" s="1" t="s">
        <v>123</v>
      </c>
      <c r="B30" s="167"/>
      <c r="C30" s="167">
        <v>20000</v>
      </c>
      <c r="D30" s="167"/>
      <c r="E30" s="135">
        <f t="shared" si="0"/>
        <v>20000</v>
      </c>
      <c r="F30" s="139">
        <f t="shared" si="1"/>
        <v>2.1862234777752234</v>
      </c>
      <c r="G30" s="94"/>
    </row>
    <row r="31" spans="1:7" ht="12" customHeight="1">
      <c r="A31" s="1" t="s">
        <v>138</v>
      </c>
      <c r="B31" s="167"/>
      <c r="C31" s="167">
        <v>5000</v>
      </c>
      <c r="D31" s="167">
        <v>9750</v>
      </c>
      <c r="E31" s="135">
        <f t="shared" si="0"/>
        <v>14750</v>
      </c>
      <c r="F31" s="139">
        <f t="shared" si="1"/>
        <v>1.6123398148592274</v>
      </c>
      <c r="G31" s="94"/>
    </row>
    <row r="32" spans="1:7" ht="12" customHeight="1">
      <c r="A32" s="1" t="s">
        <v>135</v>
      </c>
      <c r="B32" s="167">
        <v>10974.64</v>
      </c>
      <c r="C32" s="167">
        <v>10799.72</v>
      </c>
      <c r="D32" s="167">
        <v>2400</v>
      </c>
      <c r="E32" s="135">
        <f t="shared" si="0"/>
        <v>24174.36</v>
      </c>
      <c r="F32" s="139">
        <f t="shared" si="1"/>
        <v>2.6425276696095126</v>
      </c>
      <c r="G32" s="167"/>
    </row>
    <row r="33" spans="1:7" ht="12" customHeight="1">
      <c r="A33" s="1" t="s">
        <v>385</v>
      </c>
      <c r="B33" s="167">
        <v>1800</v>
      </c>
      <c r="C33" s="167">
        <v>7500</v>
      </c>
      <c r="D33" s="167">
        <v>2300</v>
      </c>
      <c r="E33" s="135">
        <f t="shared" si="0"/>
        <v>11600</v>
      </c>
      <c r="F33" s="139">
        <f t="shared" si="1"/>
        <v>1.2680096171096298</v>
      </c>
      <c r="G33" s="167"/>
    </row>
    <row r="34" spans="1:7" ht="12" customHeight="1">
      <c r="A34" s="1" t="s">
        <v>154</v>
      </c>
      <c r="B34" s="167"/>
      <c r="C34" s="167">
        <v>5500</v>
      </c>
      <c r="D34" s="167"/>
      <c r="E34" s="135">
        <f t="shared" si="0"/>
        <v>5500</v>
      </c>
      <c r="F34" s="139">
        <f t="shared" si="1"/>
        <v>0.6012114563881865</v>
      </c>
      <c r="G34" s="167"/>
    </row>
    <row r="35" spans="1:7" ht="12" customHeight="1">
      <c r="A35" s="1" t="s">
        <v>548</v>
      </c>
      <c r="B35" s="167"/>
      <c r="C35" s="167">
        <v>2500</v>
      </c>
      <c r="D35" s="167"/>
      <c r="E35" s="135">
        <f t="shared" si="0"/>
        <v>2500</v>
      </c>
      <c r="F35" s="139">
        <f t="shared" si="1"/>
        <v>0.2732779347219029</v>
      </c>
      <c r="G35" s="167"/>
    </row>
    <row r="36" spans="1:7" ht="12" customHeight="1">
      <c r="A36" s="1" t="s">
        <v>92</v>
      </c>
      <c r="B36" s="167">
        <v>3500</v>
      </c>
      <c r="C36" s="167"/>
      <c r="D36" s="167">
        <v>13000</v>
      </c>
      <c r="E36" s="135">
        <f t="shared" si="0"/>
        <v>16500</v>
      </c>
      <c r="F36" s="139">
        <f t="shared" si="1"/>
        <v>1.8036343691645595</v>
      </c>
      <c r="G36" s="167"/>
    </row>
    <row r="37" spans="1:7" ht="12" customHeight="1">
      <c r="A37" s="1" t="s">
        <v>218</v>
      </c>
      <c r="B37" s="167"/>
      <c r="C37" s="167">
        <v>-1000</v>
      </c>
      <c r="D37" s="167"/>
      <c r="E37" s="135">
        <f t="shared" si="0"/>
        <v>-1000</v>
      </c>
      <c r="F37" s="139">
        <f t="shared" si="1"/>
        <v>-0.10931117388876119</v>
      </c>
      <c r="G37" s="167"/>
    </row>
    <row r="38" spans="1:7" ht="12" customHeight="1">
      <c r="A38" s="1" t="s">
        <v>219</v>
      </c>
      <c r="B38" s="167"/>
      <c r="C38" s="167">
        <v>4000</v>
      </c>
      <c r="D38" s="167"/>
      <c r="E38" s="135">
        <f t="shared" si="0"/>
        <v>4000</v>
      </c>
      <c r="F38" s="139">
        <f t="shared" si="1"/>
        <v>0.43724469555504475</v>
      </c>
      <c r="G38" s="167"/>
    </row>
    <row r="39" spans="1:7" ht="12" customHeight="1">
      <c r="A39" s="1" t="s">
        <v>87</v>
      </c>
      <c r="B39" s="167"/>
      <c r="C39" s="167">
        <v>1100</v>
      </c>
      <c r="D39" s="167">
        <v>6000</v>
      </c>
      <c r="E39" s="135">
        <f t="shared" si="0"/>
        <v>7100</v>
      </c>
      <c r="F39" s="139">
        <f t="shared" si="1"/>
        <v>0.7761093346102044</v>
      </c>
      <c r="G39" s="167"/>
    </row>
    <row r="40" spans="1:7" ht="12" customHeight="1">
      <c r="A40" s="1" t="s">
        <v>352</v>
      </c>
      <c r="B40" s="167">
        <v>2500</v>
      </c>
      <c r="C40" s="167"/>
      <c r="D40" s="167"/>
      <c r="E40" s="135">
        <f t="shared" si="0"/>
        <v>2500</v>
      </c>
      <c r="F40" s="139">
        <f t="shared" si="1"/>
        <v>0.2732779347219029</v>
      </c>
      <c r="G40" s="167"/>
    </row>
    <row r="41" spans="1:7" ht="12" customHeight="1">
      <c r="A41" s="1" t="s">
        <v>88</v>
      </c>
      <c r="B41" s="167"/>
      <c r="C41" s="167"/>
      <c r="D41" s="167">
        <v>30000</v>
      </c>
      <c r="E41" s="135">
        <f t="shared" si="0"/>
        <v>30000</v>
      </c>
      <c r="F41" s="139">
        <f t="shared" si="1"/>
        <v>3.2793352166628353</v>
      </c>
      <c r="G41" s="167"/>
    </row>
    <row r="42" spans="1:7" ht="12" customHeight="1">
      <c r="A42" s="1" t="s">
        <v>181</v>
      </c>
      <c r="B42" s="167">
        <v>50200</v>
      </c>
      <c r="C42" s="167"/>
      <c r="D42" s="167"/>
      <c r="E42" s="135">
        <f t="shared" si="0"/>
        <v>50200</v>
      </c>
      <c r="F42" s="139">
        <f t="shared" si="1"/>
        <v>5.487420929215811</v>
      </c>
      <c r="G42" s="167"/>
    </row>
    <row r="43" spans="1:7" ht="12" customHeight="1">
      <c r="A43" s="1" t="s">
        <v>549</v>
      </c>
      <c r="B43" s="167"/>
      <c r="C43" s="167"/>
      <c r="D43" s="167">
        <v>11000</v>
      </c>
      <c r="E43" s="135">
        <f t="shared" si="0"/>
        <v>11000</v>
      </c>
      <c r="F43" s="139">
        <f t="shared" si="1"/>
        <v>1.202422912776373</v>
      </c>
      <c r="G43" s="94"/>
    </row>
    <row r="44" spans="1:7" ht="12" customHeight="1">
      <c r="A44" s="7" t="s">
        <v>500</v>
      </c>
      <c r="B44" s="167"/>
      <c r="C44" s="167"/>
      <c r="D44" s="167">
        <v>200000</v>
      </c>
      <c r="E44" s="135">
        <f t="shared" si="0"/>
        <v>200000</v>
      </c>
      <c r="F44" s="139">
        <f t="shared" si="1"/>
        <v>21.86223477775224</v>
      </c>
      <c r="G44" s="94"/>
    </row>
    <row r="45" spans="1:7" ht="12" customHeight="1">
      <c r="A45" s="1" t="s">
        <v>353</v>
      </c>
      <c r="B45" s="167"/>
      <c r="C45" s="167">
        <v>11200</v>
      </c>
      <c r="D45" s="167">
        <v>5500</v>
      </c>
      <c r="E45" s="135">
        <f t="shared" si="0"/>
        <v>16700</v>
      </c>
      <c r="F45" s="139">
        <f t="shared" si="1"/>
        <v>1.825496603942312</v>
      </c>
      <c r="G45" s="94"/>
    </row>
    <row r="46" spans="1:7" ht="12" customHeight="1">
      <c r="A46" s="1" t="s">
        <v>354</v>
      </c>
      <c r="B46" s="167"/>
      <c r="C46" s="167">
        <v>15000</v>
      </c>
      <c r="D46" s="167">
        <v>15000</v>
      </c>
      <c r="E46" s="135">
        <f t="shared" si="0"/>
        <v>30000</v>
      </c>
      <c r="F46" s="139">
        <f t="shared" si="1"/>
        <v>3.2793352166628353</v>
      </c>
      <c r="G46" s="94"/>
    </row>
    <row r="47" spans="1:7" ht="12" customHeight="1">
      <c r="A47" s="1" t="s">
        <v>355</v>
      </c>
      <c r="B47" s="167"/>
      <c r="C47" s="167">
        <v>4800</v>
      </c>
      <c r="D47" s="167">
        <v>4800</v>
      </c>
      <c r="E47" s="135">
        <f t="shared" si="0"/>
        <v>9600</v>
      </c>
      <c r="F47" s="139">
        <f t="shared" si="1"/>
        <v>1.0493872693321074</v>
      </c>
      <c r="G47" s="94"/>
    </row>
    <row r="48" spans="1:7" ht="12" customHeight="1">
      <c r="A48" s="7" t="s">
        <v>356</v>
      </c>
      <c r="B48" s="167"/>
      <c r="C48" s="167">
        <v>7200</v>
      </c>
      <c r="D48" s="167">
        <v>7200</v>
      </c>
      <c r="E48" s="135">
        <f t="shared" si="0"/>
        <v>14400</v>
      </c>
      <c r="F48" s="139">
        <f t="shared" si="1"/>
        <v>1.574080903998161</v>
      </c>
      <c r="G48" s="94"/>
    </row>
    <row r="49" spans="1:7" ht="12" customHeight="1">
      <c r="A49" s="1" t="s">
        <v>94</v>
      </c>
      <c r="B49" s="167"/>
      <c r="C49" s="167"/>
      <c r="D49" s="167">
        <v>6000</v>
      </c>
      <c r="E49" s="135">
        <f t="shared" si="0"/>
        <v>6000</v>
      </c>
      <c r="F49" s="139">
        <f t="shared" si="1"/>
        <v>0.6558670433325672</v>
      </c>
      <c r="G49" s="94"/>
    </row>
    <row r="50" spans="1:7" ht="12" customHeight="1">
      <c r="A50" s="1" t="s">
        <v>100</v>
      </c>
      <c r="B50" s="167"/>
      <c r="C50" s="167"/>
      <c r="D50" s="167">
        <v>30000</v>
      </c>
      <c r="E50" s="135">
        <f t="shared" si="0"/>
        <v>30000</v>
      </c>
      <c r="F50" s="139">
        <f t="shared" si="1"/>
        <v>3.2793352166628353</v>
      </c>
      <c r="G50" s="94"/>
    </row>
    <row r="51" spans="1:7" ht="12" customHeight="1">
      <c r="A51" s="1" t="s">
        <v>375</v>
      </c>
      <c r="B51" s="167"/>
      <c r="C51" s="167">
        <v>6000</v>
      </c>
      <c r="D51" s="167"/>
      <c r="E51" s="135">
        <f t="shared" si="0"/>
        <v>6000</v>
      </c>
      <c r="F51" s="139">
        <f t="shared" si="1"/>
        <v>0.6558670433325672</v>
      </c>
      <c r="G51" s="94"/>
    </row>
    <row r="52" spans="2:7" ht="9" customHeight="1">
      <c r="B52" s="167"/>
      <c r="C52" s="167"/>
      <c r="D52" s="167"/>
      <c r="E52" s="135"/>
      <c r="F52" s="139"/>
      <c r="G52" s="167"/>
    </row>
    <row r="53" spans="1:7" ht="12" customHeight="1" thickBot="1">
      <c r="A53" s="4" t="s">
        <v>107</v>
      </c>
      <c r="B53" s="168">
        <f>SUM(B9:B52)</f>
        <v>148540.64</v>
      </c>
      <c r="C53" s="168">
        <f>SUM(C9:C52)</f>
        <v>191117.77000000002</v>
      </c>
      <c r="D53" s="168">
        <f>SUM(D9:D52)</f>
        <v>575161.15</v>
      </c>
      <c r="E53" s="168">
        <f>SUM(E9:E52)</f>
        <v>914819.56</v>
      </c>
      <c r="F53" s="168">
        <f>SUM(F9:F52)</f>
        <v>99.99999999999997</v>
      </c>
      <c r="G53" s="167"/>
    </row>
    <row r="54" spans="2:7" ht="12" customHeight="1" thickTop="1">
      <c r="B54" s="167"/>
      <c r="C54" s="167"/>
      <c r="D54" s="167"/>
      <c r="E54" s="135"/>
      <c r="F54" s="139"/>
      <c r="G54" s="167"/>
    </row>
    <row r="55" spans="2:7" ht="12" customHeight="1">
      <c r="B55" s="167"/>
      <c r="C55" s="167"/>
      <c r="D55" s="167"/>
      <c r="E55" s="135"/>
      <c r="F55" s="139"/>
      <c r="G55" s="167"/>
    </row>
    <row r="56" spans="2:7" ht="12" customHeight="1">
      <c r="B56" s="135"/>
      <c r="C56" s="135"/>
      <c r="D56" s="167"/>
      <c r="E56" s="94"/>
      <c r="F56" s="94"/>
      <c r="G56" s="167"/>
    </row>
    <row r="57" spans="2:7" ht="12" customHeight="1">
      <c r="B57" s="135"/>
      <c r="C57" s="135"/>
      <c r="D57" s="94"/>
      <c r="E57" s="94"/>
      <c r="F57" s="94"/>
      <c r="G57" s="167"/>
    </row>
    <row r="58" spans="2:7" ht="12" customHeight="1">
      <c r="B58" s="32"/>
      <c r="C58" s="32"/>
      <c r="D58" s="32"/>
      <c r="E58" s="37"/>
      <c r="F58" s="33"/>
      <c r="G58" s="13"/>
    </row>
    <row r="59" spans="2:5" ht="12.75">
      <c r="B59" s="1"/>
      <c r="C59" s="1"/>
      <c r="D59" s="1"/>
      <c r="E59" s="1"/>
    </row>
    <row r="61" spans="2:4" ht="12.75">
      <c r="B61" s="68"/>
      <c r="C61" s="68"/>
      <c r="D61" s="24"/>
    </row>
    <row r="63" spans="2:4" ht="12.75">
      <c r="B63" s="24"/>
      <c r="C63" s="24"/>
      <c r="D63" s="24"/>
    </row>
    <row r="67" ht="12.75">
      <c r="D67" s="69"/>
    </row>
    <row r="70" ht="12.75">
      <c r="D70" s="69"/>
    </row>
  </sheetData>
  <sheetProtection/>
  <mergeCells count="5">
    <mergeCell ref="A5:F5"/>
    <mergeCell ref="E1:F1"/>
    <mergeCell ref="A2:F2"/>
    <mergeCell ref="A3:F3"/>
    <mergeCell ref="A4:F4"/>
  </mergeCells>
  <printOptions/>
  <pageMargins left="0.8661417322834646" right="0.5905511811023623" top="0.7874015748031497" bottom="0.7086614173228347" header="0" footer="0"/>
  <pageSetup fitToHeight="1" fitToWidth="1" horizontalDpi="600" verticalDpi="600" orientation="portrait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4"/>
  <sheetViews>
    <sheetView zoomScalePageLayoutView="0" workbookViewId="0" topLeftCell="A66">
      <selection activeCell="K34" sqref="K34"/>
    </sheetView>
  </sheetViews>
  <sheetFormatPr defaultColWidth="11.421875" defaultRowHeight="12.75"/>
  <cols>
    <col min="1" max="1" width="40.421875" style="1" customWidth="1"/>
    <col min="2" max="5" width="11.28125" style="22" customWidth="1"/>
    <col min="6" max="6" width="6.8515625" style="1" customWidth="1"/>
    <col min="7" max="16384" width="11.421875" style="1" customWidth="1"/>
  </cols>
  <sheetData>
    <row r="1" spans="5:6" ht="12.75">
      <c r="E1" s="291" t="s">
        <v>129</v>
      </c>
      <c r="F1" s="291"/>
    </row>
    <row r="2" spans="1:6" ht="12.75">
      <c r="A2" s="288" t="s">
        <v>283</v>
      </c>
      <c r="B2" s="288"/>
      <c r="C2" s="288"/>
      <c r="D2" s="288"/>
      <c r="E2" s="288"/>
      <c r="F2" s="288"/>
    </row>
    <row r="3" spans="1:6" ht="12.75">
      <c r="A3" s="290" t="s">
        <v>406</v>
      </c>
      <c r="B3" s="290"/>
      <c r="C3" s="290"/>
      <c r="D3" s="290"/>
      <c r="E3" s="290"/>
      <c r="F3" s="290"/>
    </row>
    <row r="4" spans="1:6" ht="12.75">
      <c r="A4" s="287" t="s">
        <v>295</v>
      </c>
      <c r="B4" s="287"/>
      <c r="C4" s="287"/>
      <c r="D4" s="287"/>
      <c r="E4" s="287"/>
      <c r="F4" s="287"/>
    </row>
    <row r="5" spans="1:7" ht="15">
      <c r="A5" s="287" t="s">
        <v>476</v>
      </c>
      <c r="B5" s="287"/>
      <c r="C5" s="287"/>
      <c r="D5" s="287"/>
      <c r="E5" s="287"/>
      <c r="F5" s="287"/>
      <c r="G5" s="200"/>
    </row>
    <row r="6" spans="1:6" ht="18.75" customHeight="1">
      <c r="A6" s="16"/>
      <c r="B6" s="16"/>
      <c r="C6" s="16"/>
      <c r="D6" s="16"/>
      <c r="E6" s="16"/>
      <c r="F6" s="16"/>
    </row>
    <row r="7" spans="1:6" ht="26.25" customHeight="1">
      <c r="A7" s="218" t="s">
        <v>19</v>
      </c>
      <c r="B7" s="219" t="s">
        <v>473</v>
      </c>
      <c r="C7" s="219" t="s">
        <v>474</v>
      </c>
      <c r="D7" s="219" t="s">
        <v>475</v>
      </c>
      <c r="E7" s="218" t="s">
        <v>20</v>
      </c>
      <c r="F7" s="220" t="s">
        <v>21</v>
      </c>
    </row>
    <row r="8" spans="1:6" ht="9" customHeight="1">
      <c r="A8" s="2"/>
      <c r="B8" s="23"/>
      <c r="C8" s="23"/>
      <c r="D8" s="31"/>
      <c r="E8" s="23"/>
      <c r="F8" s="2"/>
    </row>
    <row r="9" spans="1:6" ht="12.75">
      <c r="A9" s="1" t="s">
        <v>300</v>
      </c>
      <c r="B9" s="165">
        <v>5010199.3</v>
      </c>
      <c r="C9" s="129"/>
      <c r="D9" s="165">
        <v>17985</v>
      </c>
      <c r="E9" s="129">
        <f>SUM(B9:D9)</f>
        <v>5028184.3</v>
      </c>
      <c r="F9" s="130">
        <f aca="true" t="shared" si="0" ref="F9:F50">(E9/$E$110*100)</f>
        <v>12.033639980229657</v>
      </c>
    </row>
    <row r="10" spans="1:6" ht="12.75">
      <c r="A10" s="6" t="s">
        <v>148</v>
      </c>
      <c r="B10" s="165"/>
      <c r="C10" s="129">
        <v>42821</v>
      </c>
      <c r="D10" s="165"/>
      <c r="E10" s="129">
        <f aca="true" t="shared" si="1" ref="E10:E70">SUM(B10:D10)</f>
        <v>42821</v>
      </c>
      <c r="F10" s="130">
        <f t="shared" si="0"/>
        <v>0.10248082943049924</v>
      </c>
    </row>
    <row r="11" spans="1:6" ht="12.75">
      <c r="A11" s="6" t="s">
        <v>80</v>
      </c>
      <c r="B11" s="165">
        <v>84008</v>
      </c>
      <c r="C11" s="129">
        <v>337381</v>
      </c>
      <c r="D11" s="165">
        <v>50550</v>
      </c>
      <c r="E11" s="129">
        <f t="shared" si="1"/>
        <v>471939</v>
      </c>
      <c r="F11" s="130">
        <f t="shared" si="0"/>
        <v>1.1294621835221124</v>
      </c>
    </row>
    <row r="12" spans="1:6" ht="12.75">
      <c r="A12" s="1" t="s">
        <v>96</v>
      </c>
      <c r="B12" s="165">
        <v>500000</v>
      </c>
      <c r="C12" s="129">
        <v>500000</v>
      </c>
      <c r="D12" s="165">
        <v>540000</v>
      </c>
      <c r="E12" s="129">
        <f t="shared" si="1"/>
        <v>1540000</v>
      </c>
      <c r="F12" s="130">
        <f t="shared" si="0"/>
        <v>3.685585981713851</v>
      </c>
    </row>
    <row r="13" spans="1:6" ht="12.75">
      <c r="A13" s="1" t="s">
        <v>335</v>
      </c>
      <c r="B13" s="129">
        <v>150726</v>
      </c>
      <c r="C13" s="129">
        <v>91925.68</v>
      </c>
      <c r="D13" s="165">
        <v>58600</v>
      </c>
      <c r="E13" s="129">
        <f t="shared" si="1"/>
        <v>301251.68</v>
      </c>
      <c r="F13" s="130">
        <f t="shared" si="0"/>
        <v>0.7209668628413941</v>
      </c>
    </row>
    <row r="14" spans="1:6" ht="12.75">
      <c r="A14" s="1" t="s">
        <v>262</v>
      </c>
      <c r="B14" s="129"/>
      <c r="C14" s="129">
        <v>134868.68</v>
      </c>
      <c r="D14" s="165"/>
      <c r="E14" s="129">
        <f t="shared" si="1"/>
        <v>134868.68</v>
      </c>
      <c r="F14" s="130">
        <f t="shared" si="0"/>
        <v>0.322772802844319</v>
      </c>
    </row>
    <row r="15" spans="1:6" ht="12.75">
      <c r="A15" s="1" t="s">
        <v>180</v>
      </c>
      <c r="B15" s="165">
        <v>3014899.44</v>
      </c>
      <c r="C15" s="129"/>
      <c r="D15" s="165">
        <v>222698.13</v>
      </c>
      <c r="E15" s="129">
        <f t="shared" si="1"/>
        <v>3237597.57</v>
      </c>
      <c r="F15" s="130">
        <f t="shared" si="0"/>
        <v>7.748340401573266</v>
      </c>
    </row>
    <row r="16" spans="1:6" ht="12.75">
      <c r="A16" s="1" t="s">
        <v>150</v>
      </c>
      <c r="B16" s="165"/>
      <c r="C16" s="129">
        <v>35817</v>
      </c>
      <c r="D16" s="165">
        <f>22500+32235</f>
        <v>54735</v>
      </c>
      <c r="E16" s="129">
        <f t="shared" si="1"/>
        <v>90552</v>
      </c>
      <c r="F16" s="130">
        <f t="shared" si="0"/>
        <v>0.21671245572477443</v>
      </c>
    </row>
    <row r="17" spans="1:6" ht="12.75">
      <c r="A17" s="1" t="s">
        <v>385</v>
      </c>
      <c r="B17" s="165">
        <v>3500</v>
      </c>
      <c r="C17" s="129"/>
      <c r="D17" s="165">
        <v>106000</v>
      </c>
      <c r="E17" s="129">
        <f t="shared" si="1"/>
        <v>109500</v>
      </c>
      <c r="F17" s="130">
        <f t="shared" si="0"/>
        <v>0.2620595227257576</v>
      </c>
    </row>
    <row r="18" spans="1:6" ht="12.75">
      <c r="A18" s="1" t="s">
        <v>153</v>
      </c>
      <c r="B18" s="165">
        <v>131083</v>
      </c>
      <c r="C18" s="129">
        <v>222545.5</v>
      </c>
      <c r="D18" s="165">
        <v>271691</v>
      </c>
      <c r="E18" s="129">
        <f t="shared" si="1"/>
        <v>625319.5</v>
      </c>
      <c r="F18" s="130">
        <f t="shared" si="0"/>
        <v>1.4965381709690355</v>
      </c>
    </row>
    <row r="19" spans="1:6" ht="12.75">
      <c r="A19" s="1" t="s">
        <v>198</v>
      </c>
      <c r="B19" s="165">
        <v>121652.14</v>
      </c>
      <c r="C19" s="129">
        <v>219777.73</v>
      </c>
      <c r="D19" s="165">
        <v>323343.35</v>
      </c>
      <c r="E19" s="129">
        <f t="shared" si="1"/>
        <v>664773.22</v>
      </c>
      <c r="F19" s="130">
        <f t="shared" si="0"/>
        <v>1.5909602991238818</v>
      </c>
    </row>
    <row r="20" spans="1:6" ht="12.75">
      <c r="A20" s="1" t="s">
        <v>141</v>
      </c>
      <c r="B20" s="165">
        <v>203420.5</v>
      </c>
      <c r="C20" s="129">
        <v>412766</v>
      </c>
      <c r="D20" s="165">
        <v>520905.5</v>
      </c>
      <c r="E20" s="129">
        <f t="shared" si="1"/>
        <v>1137092</v>
      </c>
      <c r="F20" s="130">
        <f t="shared" si="0"/>
        <v>2.7213313864408875</v>
      </c>
    </row>
    <row r="21" spans="1:6" ht="12.75">
      <c r="A21" s="1" t="s">
        <v>92</v>
      </c>
      <c r="B21" s="165">
        <f>32000+120000</f>
        <v>152000</v>
      </c>
      <c r="C21" s="129">
        <f>32000+120000</f>
        <v>152000</v>
      </c>
      <c r="D21" s="165">
        <f>426000+120000</f>
        <v>546000</v>
      </c>
      <c r="E21" s="129">
        <f t="shared" si="1"/>
        <v>850000</v>
      </c>
      <c r="F21" s="130">
        <f t="shared" si="0"/>
        <v>2.034252002894009</v>
      </c>
    </row>
    <row r="22" spans="1:6" ht="12.75">
      <c r="A22" s="1" t="s">
        <v>86</v>
      </c>
      <c r="B22" s="165">
        <v>60000</v>
      </c>
      <c r="C22" s="129">
        <f>9230+60000</f>
        <v>69230</v>
      </c>
      <c r="D22" s="165">
        <f>52800+60000</f>
        <v>112800</v>
      </c>
      <c r="E22" s="129">
        <f t="shared" si="1"/>
        <v>242030</v>
      </c>
      <c r="F22" s="130">
        <f t="shared" si="0"/>
        <v>0.5792353085416906</v>
      </c>
    </row>
    <row r="23" spans="1:6" ht="12.75">
      <c r="A23" s="1" t="s">
        <v>399</v>
      </c>
      <c r="B23" s="165"/>
      <c r="C23" s="129">
        <v>8000</v>
      </c>
      <c r="D23" s="165">
        <v>29000</v>
      </c>
      <c r="E23" s="129">
        <f t="shared" si="1"/>
        <v>37000</v>
      </c>
      <c r="F23" s="130">
        <f t="shared" si="0"/>
        <v>0.08854979306715098</v>
      </c>
    </row>
    <row r="24" spans="1:6" ht="12.75">
      <c r="A24" s="1" t="s">
        <v>346</v>
      </c>
      <c r="B24" s="165">
        <f>61300+300000</f>
        <v>361300</v>
      </c>
      <c r="C24" s="129">
        <f>215000+300000</f>
        <v>515000</v>
      </c>
      <c r="D24" s="165">
        <f>200000+300000</f>
        <v>500000</v>
      </c>
      <c r="E24" s="129">
        <f t="shared" si="1"/>
        <v>1376300</v>
      </c>
      <c r="F24" s="130">
        <f t="shared" si="0"/>
        <v>3.2938129783329697</v>
      </c>
    </row>
    <row r="25" spans="1:6" ht="12.75">
      <c r="A25" s="1" t="s">
        <v>219</v>
      </c>
      <c r="B25" s="165">
        <v>100000</v>
      </c>
      <c r="C25" s="129">
        <f>50000+100000</f>
        <v>150000</v>
      </c>
      <c r="D25" s="165">
        <v>100000</v>
      </c>
      <c r="E25" s="129">
        <f t="shared" si="1"/>
        <v>350000</v>
      </c>
      <c r="F25" s="130">
        <f t="shared" si="0"/>
        <v>0.8376331776622389</v>
      </c>
    </row>
    <row r="26" spans="1:6" ht="12.75">
      <c r="A26" s="1" t="s">
        <v>352</v>
      </c>
      <c r="B26" s="165">
        <f>144000+100000</f>
        <v>244000</v>
      </c>
      <c r="C26" s="129">
        <v>413448</v>
      </c>
      <c r="D26" s="165">
        <f>880000+150000</f>
        <v>1030000</v>
      </c>
      <c r="E26" s="129">
        <f t="shared" si="1"/>
        <v>1687448</v>
      </c>
      <c r="F26" s="130">
        <f t="shared" si="0"/>
        <v>4.038464086799399</v>
      </c>
    </row>
    <row r="27" spans="1:6" ht="12.75">
      <c r="A27" s="1" t="s">
        <v>357</v>
      </c>
      <c r="B27" s="165">
        <f>29114.84+275000</f>
        <v>304114.84</v>
      </c>
      <c r="C27" s="129">
        <f>189209.4+150000</f>
        <v>339209.4</v>
      </c>
      <c r="D27" s="165">
        <v>160000</v>
      </c>
      <c r="E27" s="129">
        <f t="shared" si="1"/>
        <v>803324.24</v>
      </c>
      <c r="F27" s="130">
        <f t="shared" si="0"/>
        <v>1.9225458166980087</v>
      </c>
    </row>
    <row r="28" spans="1:6" ht="12.75">
      <c r="A28" s="1" t="s">
        <v>87</v>
      </c>
      <c r="B28" s="165">
        <v>500000</v>
      </c>
      <c r="C28" s="129">
        <v>500000</v>
      </c>
      <c r="D28" s="165">
        <v>500000</v>
      </c>
      <c r="E28" s="129">
        <f t="shared" si="1"/>
        <v>1500000</v>
      </c>
      <c r="F28" s="130">
        <f t="shared" si="0"/>
        <v>3.58985647569531</v>
      </c>
    </row>
    <row r="29" spans="1:6" ht="12.75">
      <c r="A29" s="1" t="s">
        <v>358</v>
      </c>
      <c r="B29" s="165">
        <v>315000</v>
      </c>
      <c r="C29" s="129">
        <v>320000</v>
      </c>
      <c r="D29" s="165">
        <v>40332</v>
      </c>
      <c r="E29" s="129">
        <f t="shared" si="1"/>
        <v>675332</v>
      </c>
      <c r="F29" s="130">
        <f t="shared" si="0"/>
        <v>1.6162299689628432</v>
      </c>
    </row>
    <row r="30" spans="1:6" ht="12.75">
      <c r="A30" s="1" t="s">
        <v>340</v>
      </c>
      <c r="B30" s="165">
        <v>50000</v>
      </c>
      <c r="C30" s="129">
        <f>291008.93+50000</f>
        <v>341008.93</v>
      </c>
      <c r="D30" s="165">
        <f>118459.02+50000</f>
        <v>168459.02000000002</v>
      </c>
      <c r="E30" s="129">
        <f t="shared" si="1"/>
        <v>559467.95</v>
      </c>
      <c r="F30" s="130">
        <f t="shared" si="0"/>
        <v>1.338939762167653</v>
      </c>
    </row>
    <row r="31" spans="1:6" ht="12.75">
      <c r="A31" s="1" t="s">
        <v>359</v>
      </c>
      <c r="B31" s="165"/>
      <c r="C31" s="129">
        <v>140000</v>
      </c>
      <c r="D31" s="165">
        <v>70000</v>
      </c>
      <c r="E31" s="129">
        <f t="shared" si="1"/>
        <v>210000</v>
      </c>
      <c r="F31" s="130">
        <f t="shared" si="0"/>
        <v>0.5025799065973433</v>
      </c>
    </row>
    <row r="32" spans="1:6" ht="12.75">
      <c r="A32" s="1" t="s">
        <v>400</v>
      </c>
      <c r="B32" s="165"/>
      <c r="C32" s="129">
        <v>25000</v>
      </c>
      <c r="D32" s="165">
        <f>10000+25000</f>
        <v>35000</v>
      </c>
      <c r="E32" s="129">
        <f t="shared" si="1"/>
        <v>60000</v>
      </c>
      <c r="F32" s="130">
        <f t="shared" si="0"/>
        <v>0.1435942590278124</v>
      </c>
    </row>
    <row r="33" spans="1:6" ht="12.75">
      <c r="A33" s="1" t="s">
        <v>88</v>
      </c>
      <c r="B33" s="165"/>
      <c r="C33" s="129">
        <v>15000</v>
      </c>
      <c r="D33" s="165">
        <v>15000</v>
      </c>
      <c r="E33" s="129">
        <f t="shared" si="1"/>
        <v>30000</v>
      </c>
      <c r="F33" s="130">
        <f t="shared" si="0"/>
        <v>0.0717971295139062</v>
      </c>
    </row>
    <row r="34" spans="1:6" ht="12.75">
      <c r="A34" s="1" t="s">
        <v>220</v>
      </c>
      <c r="B34" s="165">
        <v>150000</v>
      </c>
      <c r="C34" s="129"/>
      <c r="D34" s="165">
        <v>300000</v>
      </c>
      <c r="E34" s="129">
        <f t="shared" si="1"/>
        <v>450000</v>
      </c>
      <c r="F34" s="130">
        <f t="shared" si="0"/>
        <v>1.076956942708593</v>
      </c>
    </row>
    <row r="35" spans="1:6" ht="12.75">
      <c r="A35" s="1" t="s">
        <v>181</v>
      </c>
      <c r="B35" s="165">
        <f>183991.67+250000</f>
        <v>433991.67000000004</v>
      </c>
      <c r="C35" s="129">
        <f>169405.94+250000</f>
        <v>419405.94</v>
      </c>
      <c r="D35" s="165"/>
      <c r="E35" s="129">
        <f t="shared" si="1"/>
        <v>853397.6100000001</v>
      </c>
      <c r="F35" s="130">
        <f t="shared" si="0"/>
        <v>2.0423832910676003</v>
      </c>
    </row>
    <row r="36" spans="1:6" ht="12.75">
      <c r="A36" s="1" t="s">
        <v>369</v>
      </c>
      <c r="B36" s="165"/>
      <c r="C36" s="129">
        <v>120000</v>
      </c>
      <c r="D36" s="165"/>
      <c r="E36" s="129">
        <f t="shared" si="1"/>
        <v>120000</v>
      </c>
      <c r="F36" s="130">
        <f t="shared" si="0"/>
        <v>0.2871885180556248</v>
      </c>
    </row>
    <row r="37" spans="1:6" ht="12.75">
      <c r="A37" s="1" t="s">
        <v>371</v>
      </c>
      <c r="B37" s="165">
        <v>12000</v>
      </c>
      <c r="C37" s="129">
        <v>12000</v>
      </c>
      <c r="D37" s="165">
        <v>12000</v>
      </c>
      <c r="E37" s="129">
        <f t="shared" si="1"/>
        <v>36000</v>
      </c>
      <c r="F37" s="130">
        <f t="shared" si="0"/>
        <v>0.08615655541668743</v>
      </c>
    </row>
    <row r="38" spans="1:6" ht="12.75">
      <c r="A38" s="1" t="s">
        <v>360</v>
      </c>
      <c r="B38" s="165">
        <v>140000</v>
      </c>
      <c r="C38" s="129">
        <v>140000</v>
      </c>
      <c r="D38" s="165">
        <v>140000</v>
      </c>
      <c r="E38" s="129">
        <f t="shared" si="1"/>
        <v>420000</v>
      </c>
      <c r="F38" s="130">
        <f t="shared" si="0"/>
        <v>1.0051598131946866</v>
      </c>
    </row>
    <row r="39" spans="1:6" ht="12.75">
      <c r="A39" s="1" t="s">
        <v>193</v>
      </c>
      <c r="B39" s="165">
        <v>50000</v>
      </c>
      <c r="C39" s="129">
        <v>25000</v>
      </c>
      <c r="D39" s="165">
        <v>25000</v>
      </c>
      <c r="E39" s="129">
        <f t="shared" si="1"/>
        <v>100000</v>
      </c>
      <c r="F39" s="130">
        <f t="shared" si="0"/>
        <v>0.23932376504635397</v>
      </c>
    </row>
    <row r="40" spans="1:6" ht="12.75">
      <c r="A40" s="1" t="s">
        <v>539</v>
      </c>
      <c r="B40" s="165">
        <v>300000</v>
      </c>
      <c r="C40" s="129"/>
      <c r="D40" s="165"/>
      <c r="E40" s="129">
        <f t="shared" si="1"/>
        <v>300000</v>
      </c>
      <c r="F40" s="130">
        <f t="shared" si="0"/>
        <v>0.717971295139062</v>
      </c>
    </row>
    <row r="41" spans="1:6" ht="12.75">
      <c r="A41" s="1" t="s">
        <v>421</v>
      </c>
      <c r="B41" s="165"/>
      <c r="C41" s="129">
        <v>50000</v>
      </c>
      <c r="D41" s="165">
        <v>50000</v>
      </c>
      <c r="E41" s="129">
        <f t="shared" si="1"/>
        <v>100000</v>
      </c>
      <c r="F41" s="130">
        <f t="shared" si="0"/>
        <v>0.23932376504635397</v>
      </c>
    </row>
    <row r="42" spans="1:6" ht="12.75">
      <c r="A42" s="1" t="s">
        <v>89</v>
      </c>
      <c r="B42" s="165">
        <v>128164.64</v>
      </c>
      <c r="C42" s="129">
        <v>13764.1</v>
      </c>
      <c r="D42" s="165">
        <v>483336.23</v>
      </c>
      <c r="E42" s="129">
        <f t="shared" si="1"/>
        <v>625264.97</v>
      </c>
      <c r="F42" s="130">
        <f t="shared" si="0"/>
        <v>1.4964076677199556</v>
      </c>
    </row>
    <row r="43" spans="1:6" ht="12.75">
      <c r="A43" s="1" t="s">
        <v>540</v>
      </c>
      <c r="B43" s="165">
        <v>100000</v>
      </c>
      <c r="C43" s="129">
        <v>100000</v>
      </c>
      <c r="D43" s="165">
        <v>200000</v>
      </c>
      <c r="E43" s="129">
        <f t="shared" si="1"/>
        <v>400000</v>
      </c>
      <c r="F43" s="130">
        <f t="shared" si="0"/>
        <v>0.9572950601854159</v>
      </c>
    </row>
    <row r="44" spans="1:6" ht="12.75">
      <c r="A44" s="1" t="s">
        <v>361</v>
      </c>
      <c r="B44" s="165">
        <v>100000</v>
      </c>
      <c r="C44" s="129">
        <v>100000</v>
      </c>
      <c r="D44" s="165">
        <v>100000</v>
      </c>
      <c r="E44" s="129">
        <f t="shared" si="1"/>
        <v>300000</v>
      </c>
      <c r="F44" s="130">
        <f t="shared" si="0"/>
        <v>0.717971295139062</v>
      </c>
    </row>
    <row r="45" spans="1:6" ht="12.75">
      <c r="A45" s="1" t="s">
        <v>447</v>
      </c>
      <c r="B45" s="165">
        <f>16558.93+20000</f>
        <v>36558.93</v>
      </c>
      <c r="C45" s="129">
        <f>20051+20000</f>
        <v>40051</v>
      </c>
      <c r="D45" s="165">
        <f>25012.28+20000</f>
        <v>45012.28</v>
      </c>
      <c r="E45" s="129">
        <f t="shared" si="1"/>
        <v>121622.20999999999</v>
      </c>
      <c r="F45" s="130">
        <f t="shared" si="0"/>
        <v>0.2910708521045832</v>
      </c>
    </row>
    <row r="46" spans="1:6" ht="12.75">
      <c r="A46" s="1" t="s">
        <v>362</v>
      </c>
      <c r="B46" s="165">
        <v>150000</v>
      </c>
      <c r="C46" s="129">
        <f>175000+150000</f>
        <v>325000</v>
      </c>
      <c r="D46" s="165">
        <v>150000</v>
      </c>
      <c r="E46" s="129">
        <f t="shared" si="1"/>
        <v>625000</v>
      </c>
      <c r="F46" s="130">
        <f t="shared" si="0"/>
        <v>1.4957735315397123</v>
      </c>
    </row>
    <row r="47" spans="1:6" ht="12.75">
      <c r="A47" s="1" t="s">
        <v>314</v>
      </c>
      <c r="B47" s="165">
        <v>100000</v>
      </c>
      <c r="C47" s="129">
        <v>100000</v>
      </c>
      <c r="D47" s="165">
        <f>60000+100000</f>
        <v>160000</v>
      </c>
      <c r="E47" s="129">
        <f t="shared" si="1"/>
        <v>360000</v>
      </c>
      <c r="F47" s="130">
        <f t="shared" si="0"/>
        <v>0.8615655541668743</v>
      </c>
    </row>
    <row r="48" spans="1:6" ht="12.75">
      <c r="A48" s="1" t="s">
        <v>448</v>
      </c>
      <c r="B48" s="165">
        <v>100000</v>
      </c>
      <c r="C48" s="129">
        <v>100000</v>
      </c>
      <c r="D48" s="165">
        <f>5000+100000</f>
        <v>105000</v>
      </c>
      <c r="E48" s="129">
        <f t="shared" si="1"/>
        <v>305000</v>
      </c>
      <c r="F48" s="130">
        <f t="shared" si="0"/>
        <v>0.7299374833913796</v>
      </c>
    </row>
    <row r="49" spans="1:6" ht="12.75">
      <c r="A49" s="1" t="s">
        <v>183</v>
      </c>
      <c r="B49" s="165"/>
      <c r="C49" s="129">
        <f>50000+200000</f>
        <v>250000</v>
      </c>
      <c r="D49" s="165">
        <v>100000</v>
      </c>
      <c r="E49" s="129">
        <f t="shared" si="1"/>
        <v>350000</v>
      </c>
      <c r="F49" s="130">
        <f t="shared" si="0"/>
        <v>0.8376331776622389</v>
      </c>
    </row>
    <row r="50" spans="1:6" ht="12.75">
      <c r="A50" s="1" t="s">
        <v>202</v>
      </c>
      <c r="B50" s="165">
        <v>120000</v>
      </c>
      <c r="C50" s="129">
        <v>120000</v>
      </c>
      <c r="D50" s="165">
        <v>120000</v>
      </c>
      <c r="E50" s="129">
        <f t="shared" si="1"/>
        <v>360000</v>
      </c>
      <c r="F50" s="130">
        <f t="shared" si="0"/>
        <v>0.8615655541668743</v>
      </c>
    </row>
    <row r="51" spans="1:6" ht="12.75" customHeight="1">
      <c r="A51" s="1" t="s">
        <v>221</v>
      </c>
      <c r="B51" s="165">
        <f>30000+100000</f>
        <v>130000</v>
      </c>
      <c r="C51" s="129">
        <f>60000+100000</f>
        <v>160000</v>
      </c>
      <c r="D51" s="165">
        <f>30000+100000</f>
        <v>130000</v>
      </c>
      <c r="E51" s="129">
        <f t="shared" si="1"/>
        <v>420000</v>
      </c>
      <c r="F51" s="130">
        <f aca="true" t="shared" si="2" ref="F51:F92">(E51/$E$110*100)</f>
        <v>1.0051598131946866</v>
      </c>
    </row>
    <row r="52" spans="1:6" ht="12.75" customHeight="1">
      <c r="A52" s="1" t="s">
        <v>449</v>
      </c>
      <c r="B52" s="165">
        <v>150000</v>
      </c>
      <c r="C52" s="129">
        <f>350000+60000+150000</f>
        <v>560000</v>
      </c>
      <c r="D52" s="165">
        <f>550474+150000-60000</f>
        <v>640474</v>
      </c>
      <c r="E52" s="129">
        <f t="shared" si="1"/>
        <v>1350474</v>
      </c>
      <c r="F52" s="130">
        <f t="shared" si="2"/>
        <v>3.232005222772098</v>
      </c>
    </row>
    <row r="53" spans="1:6" ht="12.75" customHeight="1">
      <c r="A53" s="1" t="s">
        <v>184</v>
      </c>
      <c r="B53" s="165">
        <v>150000</v>
      </c>
      <c r="C53" s="129">
        <v>150000</v>
      </c>
      <c r="D53" s="165">
        <f>120000+150000</f>
        <v>270000</v>
      </c>
      <c r="E53" s="129">
        <f t="shared" si="1"/>
        <v>570000</v>
      </c>
      <c r="F53" s="130">
        <f t="shared" si="2"/>
        <v>1.3641454607642176</v>
      </c>
    </row>
    <row r="54" spans="1:6" ht="12.75" customHeight="1">
      <c r="A54" s="1" t="s">
        <v>97</v>
      </c>
      <c r="B54" s="129">
        <v>70000</v>
      </c>
      <c r="C54" s="129">
        <v>70000</v>
      </c>
      <c r="D54" s="165">
        <v>70000</v>
      </c>
      <c r="E54" s="129">
        <f t="shared" si="1"/>
        <v>210000</v>
      </c>
      <c r="F54" s="130">
        <f t="shared" si="2"/>
        <v>0.5025799065973433</v>
      </c>
    </row>
    <row r="55" spans="1:6" ht="12.75" customHeight="1">
      <c r="A55" s="1" t="s">
        <v>90</v>
      </c>
      <c r="B55" s="165">
        <v>100000</v>
      </c>
      <c r="C55" s="129">
        <v>100000</v>
      </c>
      <c r="D55" s="165">
        <v>100000</v>
      </c>
      <c r="E55" s="129">
        <f t="shared" si="1"/>
        <v>300000</v>
      </c>
      <c r="F55" s="130">
        <f t="shared" si="2"/>
        <v>0.717971295139062</v>
      </c>
    </row>
    <row r="56" spans="1:6" ht="12" customHeight="1">
      <c r="A56" s="1" t="s">
        <v>307</v>
      </c>
      <c r="B56" s="165">
        <v>35000</v>
      </c>
      <c r="C56" s="129">
        <v>35000</v>
      </c>
      <c r="D56" s="165">
        <v>35000</v>
      </c>
      <c r="E56" s="129">
        <f t="shared" si="1"/>
        <v>105000</v>
      </c>
      <c r="F56" s="130">
        <f t="shared" si="2"/>
        <v>0.25128995329867165</v>
      </c>
    </row>
    <row r="57" spans="1:6" ht="12" customHeight="1">
      <c r="A57" s="1" t="s">
        <v>93</v>
      </c>
      <c r="B57" s="165">
        <v>40000</v>
      </c>
      <c r="C57" s="129"/>
      <c r="D57" s="165"/>
      <c r="E57" s="129">
        <f t="shared" si="1"/>
        <v>40000</v>
      </c>
      <c r="F57" s="130">
        <f t="shared" si="2"/>
        <v>0.09572950601854159</v>
      </c>
    </row>
    <row r="58" spans="1:6" ht="12" customHeight="1">
      <c r="A58" s="1" t="s">
        <v>422</v>
      </c>
      <c r="B58" s="165">
        <f>40000+240000</f>
        <v>280000</v>
      </c>
      <c r="C58" s="129">
        <v>27000</v>
      </c>
      <c r="D58" s="165"/>
      <c r="E58" s="129">
        <f t="shared" si="1"/>
        <v>307000</v>
      </c>
      <c r="F58" s="130">
        <f t="shared" si="2"/>
        <v>0.7347239586923067</v>
      </c>
    </row>
    <row r="59" spans="1:6" ht="12" customHeight="1">
      <c r="A59" s="1" t="s">
        <v>353</v>
      </c>
      <c r="B59" s="165">
        <f>105594.58+60000-130351.57</f>
        <v>35243.01000000001</v>
      </c>
      <c r="C59" s="129">
        <v>60000</v>
      </c>
      <c r="D59" s="165">
        <f>182374.58+60000</f>
        <v>242374.58</v>
      </c>
      <c r="E59" s="129">
        <f t="shared" si="1"/>
        <v>337617.58999999997</v>
      </c>
      <c r="F59" s="130">
        <f t="shared" si="2"/>
        <v>0.8079991278467625</v>
      </c>
    </row>
    <row r="60" spans="1:6" ht="12" customHeight="1">
      <c r="A60" s="1" t="s">
        <v>354</v>
      </c>
      <c r="B60" s="165">
        <f>9162+70000</f>
        <v>79162</v>
      </c>
      <c r="C60" s="129">
        <f>70000+70000</f>
        <v>140000</v>
      </c>
      <c r="D60" s="165">
        <v>70000</v>
      </c>
      <c r="E60" s="129">
        <f t="shared" si="1"/>
        <v>289162</v>
      </c>
      <c r="F60" s="130">
        <f t="shared" si="2"/>
        <v>0.6920333854833381</v>
      </c>
    </row>
    <row r="61" spans="1:6" ht="12" customHeight="1">
      <c r="A61" s="1" t="s">
        <v>355</v>
      </c>
      <c r="B61" s="165">
        <v>135000</v>
      </c>
      <c r="C61" s="129">
        <v>135000</v>
      </c>
      <c r="D61" s="165">
        <f>38850+135000</f>
        <v>173850</v>
      </c>
      <c r="E61" s="129">
        <f t="shared" si="1"/>
        <v>443850</v>
      </c>
      <c r="F61" s="130">
        <f t="shared" si="2"/>
        <v>1.062238531158242</v>
      </c>
    </row>
    <row r="62" spans="1:6" ht="12" customHeight="1">
      <c r="A62" s="1" t="s">
        <v>356</v>
      </c>
      <c r="B62" s="165"/>
      <c r="C62" s="129">
        <f>25000+35000</f>
        <v>60000</v>
      </c>
      <c r="D62" s="165">
        <v>70000</v>
      </c>
      <c r="E62" s="129">
        <f t="shared" si="1"/>
        <v>130000</v>
      </c>
      <c r="F62" s="130">
        <f t="shared" si="2"/>
        <v>0.31112089456026015</v>
      </c>
    </row>
    <row r="63" spans="1:6" ht="12" customHeight="1">
      <c r="A63" s="1" t="s">
        <v>320</v>
      </c>
      <c r="B63" s="165">
        <v>100000</v>
      </c>
      <c r="C63" s="129">
        <v>100000</v>
      </c>
      <c r="D63" s="165">
        <v>200000</v>
      </c>
      <c r="E63" s="129">
        <f t="shared" si="1"/>
        <v>400000</v>
      </c>
      <c r="F63" s="130">
        <f t="shared" si="2"/>
        <v>0.9572950601854159</v>
      </c>
    </row>
    <row r="64" spans="1:6" ht="12" customHeight="1">
      <c r="A64" s="1" t="s">
        <v>414</v>
      </c>
      <c r="B64" s="165">
        <v>25000</v>
      </c>
      <c r="C64" s="129">
        <v>25000</v>
      </c>
      <c r="D64" s="165">
        <v>25000</v>
      </c>
      <c r="E64" s="129">
        <f t="shared" si="1"/>
        <v>75000</v>
      </c>
      <c r="F64" s="130">
        <f t="shared" si="2"/>
        <v>0.1794928237847655</v>
      </c>
    </row>
    <row r="65" spans="1:6" ht="12" customHeight="1">
      <c r="A65" s="1" t="s">
        <v>336</v>
      </c>
      <c r="B65" s="165">
        <v>31000</v>
      </c>
      <c r="C65" s="129">
        <f>6000+30000</f>
        <v>36000</v>
      </c>
      <c r="D65" s="165">
        <v>30000</v>
      </c>
      <c r="E65" s="129">
        <f t="shared" si="1"/>
        <v>97000</v>
      </c>
      <c r="F65" s="130">
        <f t="shared" si="2"/>
        <v>0.23214405209496333</v>
      </c>
    </row>
    <row r="66" spans="1:6" ht="12" customHeight="1">
      <c r="A66" s="1" t="s">
        <v>98</v>
      </c>
      <c r="B66" s="165">
        <v>40000</v>
      </c>
      <c r="C66" s="129">
        <f>75000+40000</f>
        <v>115000</v>
      </c>
      <c r="D66" s="165">
        <f>50000+40000</f>
        <v>90000</v>
      </c>
      <c r="E66" s="129">
        <f t="shared" si="1"/>
        <v>245000</v>
      </c>
      <c r="F66" s="130">
        <f t="shared" si="2"/>
        <v>0.5863432243635672</v>
      </c>
    </row>
    <row r="67" spans="1:6" ht="12" customHeight="1">
      <c r="A67" s="1" t="s">
        <v>263</v>
      </c>
      <c r="B67" s="165">
        <v>100000</v>
      </c>
      <c r="C67" s="129">
        <f>9108.63+100000</f>
        <v>109108.63</v>
      </c>
      <c r="D67" s="165">
        <v>100000</v>
      </c>
      <c r="E67" s="129">
        <f t="shared" si="1"/>
        <v>309108.63</v>
      </c>
      <c r="F67" s="130">
        <f t="shared" si="2"/>
        <v>0.7397704113992036</v>
      </c>
    </row>
    <row r="68" spans="1:6" ht="12" customHeight="1">
      <c r="A68" s="1" t="s">
        <v>99</v>
      </c>
      <c r="B68" s="165">
        <v>50000</v>
      </c>
      <c r="C68" s="129">
        <v>50000</v>
      </c>
      <c r="D68" s="165">
        <f>50000+50000</f>
        <v>100000</v>
      </c>
      <c r="E68" s="129">
        <f t="shared" si="1"/>
        <v>200000</v>
      </c>
      <c r="F68" s="130">
        <f t="shared" si="2"/>
        <v>0.47864753009270794</v>
      </c>
    </row>
    <row r="69" spans="1:6" ht="12" customHeight="1">
      <c r="A69" s="1" t="s">
        <v>94</v>
      </c>
      <c r="B69" s="165"/>
      <c r="C69" s="165">
        <v>160000</v>
      </c>
      <c r="D69" s="165">
        <v>160000</v>
      </c>
      <c r="E69" s="129">
        <f t="shared" si="1"/>
        <v>320000</v>
      </c>
      <c r="F69" s="130">
        <f t="shared" si="2"/>
        <v>0.7658360481483327</v>
      </c>
    </row>
    <row r="70" spans="1:6" ht="12" customHeight="1">
      <c r="A70" s="1" t="s">
        <v>136</v>
      </c>
      <c r="B70" s="165">
        <f>10000+18000</f>
        <v>28000</v>
      </c>
      <c r="C70" s="165">
        <v>36000</v>
      </c>
      <c r="D70" s="165">
        <v>25000</v>
      </c>
      <c r="E70" s="129">
        <f t="shared" si="1"/>
        <v>89000</v>
      </c>
      <c r="F70" s="130">
        <f t="shared" si="2"/>
        <v>0.21299815089125507</v>
      </c>
    </row>
    <row r="71" spans="1:6" ht="12" customHeight="1">
      <c r="A71" s="1" t="s">
        <v>137</v>
      </c>
      <c r="B71" s="165"/>
      <c r="C71" s="165">
        <v>80000</v>
      </c>
      <c r="D71" s="165">
        <v>80000</v>
      </c>
      <c r="E71" s="129">
        <f aca="true" t="shared" si="3" ref="E71:E108">SUM(B71:D71)</f>
        <v>160000</v>
      </c>
      <c r="F71" s="130">
        <f t="shared" si="2"/>
        <v>0.38291802407416636</v>
      </c>
    </row>
    <row r="72" spans="1:6" ht="12" customHeight="1">
      <c r="A72" s="1" t="s">
        <v>124</v>
      </c>
      <c r="B72" s="165">
        <v>40000</v>
      </c>
      <c r="C72" s="165">
        <v>40000</v>
      </c>
      <c r="D72" s="165">
        <v>40000</v>
      </c>
      <c r="E72" s="129">
        <f t="shared" si="3"/>
        <v>120000</v>
      </c>
      <c r="F72" s="130">
        <f t="shared" si="2"/>
        <v>0.2871885180556248</v>
      </c>
    </row>
    <row r="73" spans="1:6" ht="12" customHeight="1">
      <c r="A73" s="1" t="s">
        <v>196</v>
      </c>
      <c r="B73" s="165"/>
      <c r="C73" s="165">
        <v>40000</v>
      </c>
      <c r="D73" s="165">
        <v>70000</v>
      </c>
      <c r="E73" s="129">
        <f t="shared" si="3"/>
        <v>110000</v>
      </c>
      <c r="F73" s="130">
        <f t="shared" si="2"/>
        <v>0.26325614155098936</v>
      </c>
    </row>
    <row r="74" spans="1:6" ht="12" customHeight="1">
      <c r="A74" s="1" t="s">
        <v>487</v>
      </c>
      <c r="B74" s="165"/>
      <c r="C74" s="165">
        <v>50000</v>
      </c>
      <c r="D74" s="165">
        <f>22000+25000</f>
        <v>47000</v>
      </c>
      <c r="E74" s="129">
        <f t="shared" si="3"/>
        <v>97000</v>
      </c>
      <c r="F74" s="130">
        <f>(E74/$E$110*100)</f>
        <v>0.23214405209496333</v>
      </c>
    </row>
    <row r="75" spans="1:6" ht="12" customHeight="1">
      <c r="A75" s="1" t="s">
        <v>95</v>
      </c>
      <c r="B75" s="165">
        <v>30000</v>
      </c>
      <c r="C75" s="165">
        <v>30000</v>
      </c>
      <c r="D75" s="165">
        <v>30000</v>
      </c>
      <c r="E75" s="129">
        <f t="shared" si="3"/>
        <v>90000</v>
      </c>
      <c r="F75" s="130">
        <f t="shared" si="2"/>
        <v>0.21539138854171858</v>
      </c>
    </row>
    <row r="76" spans="1:6" ht="12" customHeight="1">
      <c r="A76" s="1" t="s">
        <v>450</v>
      </c>
      <c r="B76" s="165"/>
      <c r="C76" s="165">
        <v>200000</v>
      </c>
      <c r="D76" s="165"/>
      <c r="E76" s="129">
        <f t="shared" si="3"/>
        <v>200000</v>
      </c>
      <c r="F76" s="130">
        <f t="shared" si="2"/>
        <v>0.47864753009270794</v>
      </c>
    </row>
    <row r="77" spans="1:6" ht="12" customHeight="1">
      <c r="A77" s="1" t="s">
        <v>100</v>
      </c>
      <c r="B77" s="165">
        <v>100000</v>
      </c>
      <c r="C77" s="165">
        <v>100000</v>
      </c>
      <c r="D77" s="165">
        <f>50000+100000</f>
        <v>150000</v>
      </c>
      <c r="E77" s="129">
        <f t="shared" si="3"/>
        <v>350000</v>
      </c>
      <c r="F77" s="130">
        <f t="shared" si="2"/>
        <v>0.8376331776622389</v>
      </c>
    </row>
    <row r="78" spans="1:6" ht="12" customHeight="1">
      <c r="A78" s="1" t="s">
        <v>375</v>
      </c>
      <c r="B78" s="165">
        <v>50000</v>
      </c>
      <c r="C78" s="165">
        <v>100000</v>
      </c>
      <c r="D78" s="165">
        <f>155580+50000</f>
        <v>205580</v>
      </c>
      <c r="E78" s="129">
        <f t="shared" si="3"/>
        <v>355580</v>
      </c>
      <c r="F78" s="130">
        <f t="shared" si="2"/>
        <v>0.8509874437518254</v>
      </c>
    </row>
    <row r="79" spans="1:6" ht="12" customHeight="1">
      <c r="A79" s="1" t="s">
        <v>101</v>
      </c>
      <c r="B79" s="165">
        <v>30000</v>
      </c>
      <c r="C79" s="165">
        <f>14000+30000</f>
        <v>44000</v>
      </c>
      <c r="D79" s="165">
        <v>30000</v>
      </c>
      <c r="E79" s="129">
        <f t="shared" si="3"/>
        <v>104000</v>
      </c>
      <c r="F79" s="130">
        <f t="shared" si="2"/>
        <v>0.24889671564820812</v>
      </c>
    </row>
    <row r="80" spans="1:6" ht="12" customHeight="1">
      <c r="A80" s="1" t="s">
        <v>451</v>
      </c>
      <c r="B80" s="165">
        <v>50000</v>
      </c>
      <c r="C80" s="165">
        <v>50000</v>
      </c>
      <c r="D80" s="165">
        <v>50000</v>
      </c>
      <c r="E80" s="129">
        <f t="shared" si="3"/>
        <v>150000</v>
      </c>
      <c r="F80" s="130">
        <f t="shared" si="2"/>
        <v>0.358985647569531</v>
      </c>
    </row>
    <row r="81" spans="1:6" ht="12" customHeight="1">
      <c r="A81" s="1" t="s">
        <v>363</v>
      </c>
      <c r="B81" s="165">
        <v>20000</v>
      </c>
      <c r="C81" s="165"/>
      <c r="D81" s="165">
        <v>20000</v>
      </c>
      <c r="E81" s="129">
        <f t="shared" si="3"/>
        <v>40000</v>
      </c>
      <c r="F81" s="130">
        <f t="shared" si="2"/>
        <v>0.09572950601854159</v>
      </c>
    </row>
    <row r="82" spans="1:6" ht="12" customHeight="1">
      <c r="A82" s="1" t="s">
        <v>102</v>
      </c>
      <c r="B82" s="165">
        <v>30000</v>
      </c>
      <c r="C82" s="165">
        <v>30000</v>
      </c>
      <c r="D82" s="165">
        <f>30000+30000</f>
        <v>60000</v>
      </c>
      <c r="E82" s="129">
        <f t="shared" si="3"/>
        <v>120000</v>
      </c>
      <c r="F82" s="130">
        <f t="shared" si="2"/>
        <v>0.2871885180556248</v>
      </c>
    </row>
    <row r="83" spans="1:6" ht="12" customHeight="1">
      <c r="A83" s="1" t="s">
        <v>541</v>
      </c>
      <c r="B83" s="165">
        <f>4348.61+30000</f>
        <v>34348.61</v>
      </c>
      <c r="C83" s="165">
        <f>10000+30000</f>
        <v>40000</v>
      </c>
      <c r="D83" s="165">
        <f>10000+30000</f>
        <v>40000</v>
      </c>
      <c r="E83" s="129">
        <f t="shared" si="3"/>
        <v>114348.61</v>
      </c>
      <c r="F83" s="130">
        <f t="shared" si="2"/>
        <v>0.2736633987301716</v>
      </c>
    </row>
    <row r="84" spans="1:6" ht="12" customHeight="1">
      <c r="A84" s="1" t="s">
        <v>103</v>
      </c>
      <c r="B84" s="165">
        <f>30000+70000</f>
        <v>100000</v>
      </c>
      <c r="C84" s="165">
        <v>70000</v>
      </c>
      <c r="D84" s="165">
        <f>18000+70000</f>
        <v>88000</v>
      </c>
      <c r="E84" s="129">
        <f t="shared" si="3"/>
        <v>258000</v>
      </c>
      <c r="F84" s="130">
        <f t="shared" si="2"/>
        <v>0.6174553138195932</v>
      </c>
    </row>
    <row r="85" spans="1:6" ht="12" customHeight="1">
      <c r="A85" s="1" t="s">
        <v>542</v>
      </c>
      <c r="B85" s="165">
        <v>50000</v>
      </c>
      <c r="C85" s="165">
        <v>50000</v>
      </c>
      <c r="D85" s="165">
        <v>50000</v>
      </c>
      <c r="E85" s="129">
        <f t="shared" si="3"/>
        <v>150000</v>
      </c>
      <c r="F85" s="130">
        <f t="shared" si="2"/>
        <v>0.358985647569531</v>
      </c>
    </row>
    <row r="86" spans="1:6" ht="12" customHeight="1">
      <c r="A86" s="1" t="s">
        <v>199</v>
      </c>
      <c r="B86" s="165">
        <v>20000</v>
      </c>
      <c r="C86" s="165">
        <v>20000</v>
      </c>
      <c r="D86" s="165">
        <v>20000</v>
      </c>
      <c r="E86" s="129">
        <f t="shared" si="3"/>
        <v>60000</v>
      </c>
      <c r="F86" s="130">
        <f t="shared" si="2"/>
        <v>0.1435942590278124</v>
      </c>
    </row>
    <row r="87" spans="1:6" ht="12" customHeight="1">
      <c r="A87" s="1" t="s">
        <v>367</v>
      </c>
      <c r="B87" s="165"/>
      <c r="C87" s="165">
        <v>20000</v>
      </c>
      <c r="D87" s="165">
        <v>20000</v>
      </c>
      <c r="E87" s="129">
        <f t="shared" si="3"/>
        <v>40000</v>
      </c>
      <c r="F87" s="130">
        <f t="shared" si="2"/>
        <v>0.09572950601854159</v>
      </c>
    </row>
    <row r="88" spans="1:6" ht="12" customHeight="1">
      <c r="A88" s="1" t="s">
        <v>104</v>
      </c>
      <c r="B88" s="165">
        <v>30000</v>
      </c>
      <c r="C88" s="165">
        <v>30000</v>
      </c>
      <c r="D88" s="165">
        <v>20000</v>
      </c>
      <c r="E88" s="129">
        <f t="shared" si="3"/>
        <v>80000</v>
      </c>
      <c r="F88" s="130">
        <f t="shared" si="2"/>
        <v>0.19145901203708318</v>
      </c>
    </row>
    <row r="89" spans="1:6" ht="12" customHeight="1">
      <c r="A89" s="1" t="s">
        <v>272</v>
      </c>
      <c r="B89" s="165"/>
      <c r="C89" s="165">
        <v>90000</v>
      </c>
      <c r="D89" s="165">
        <v>90000</v>
      </c>
      <c r="E89" s="129">
        <f t="shared" si="3"/>
        <v>180000</v>
      </c>
      <c r="F89" s="130">
        <f t="shared" si="2"/>
        <v>0.43078277708343715</v>
      </c>
    </row>
    <row r="90" spans="1:6" ht="12" customHeight="1">
      <c r="A90" s="1" t="s">
        <v>155</v>
      </c>
      <c r="B90" s="165">
        <v>140000</v>
      </c>
      <c r="C90" s="165">
        <v>140000</v>
      </c>
      <c r="D90" s="165">
        <f>20000+140000</f>
        <v>160000</v>
      </c>
      <c r="E90" s="129">
        <f t="shared" si="3"/>
        <v>440000</v>
      </c>
      <c r="F90" s="130">
        <f t="shared" si="2"/>
        <v>1.0530245662039575</v>
      </c>
    </row>
    <row r="91" spans="1:6" ht="12" customHeight="1">
      <c r="A91" s="1" t="s">
        <v>321</v>
      </c>
      <c r="B91" s="165">
        <v>20000</v>
      </c>
      <c r="C91" s="165">
        <v>20000</v>
      </c>
      <c r="D91" s="165">
        <v>20000</v>
      </c>
      <c r="E91" s="129">
        <f t="shared" si="3"/>
        <v>60000</v>
      </c>
      <c r="F91" s="130">
        <f t="shared" si="2"/>
        <v>0.1435942590278124</v>
      </c>
    </row>
    <row r="92" spans="1:6" ht="12" customHeight="1">
      <c r="A92" s="1" t="s">
        <v>201</v>
      </c>
      <c r="B92" s="165">
        <v>15000</v>
      </c>
      <c r="C92" s="165">
        <v>15000</v>
      </c>
      <c r="D92" s="165">
        <f>4750.46+15000</f>
        <v>19750.46</v>
      </c>
      <c r="E92" s="129">
        <f t="shared" si="3"/>
        <v>49750.46</v>
      </c>
      <c r="F92" s="130">
        <f t="shared" si="2"/>
        <v>0.11906467399988031</v>
      </c>
    </row>
    <row r="93" spans="1:7" ht="12.75" customHeight="1">
      <c r="A93" s="1" t="s">
        <v>156</v>
      </c>
      <c r="B93" s="165"/>
      <c r="C93" s="165">
        <v>60000</v>
      </c>
      <c r="D93" s="165"/>
      <c r="E93" s="129">
        <f t="shared" si="3"/>
        <v>60000</v>
      </c>
      <c r="F93" s="130">
        <f aca="true" t="shared" si="4" ref="F93:F108">(E93/$E$110*100)</f>
        <v>0.1435942590278124</v>
      </c>
      <c r="G93" s="94"/>
    </row>
    <row r="94" spans="1:7" ht="12.75" customHeight="1">
      <c r="A94" s="1" t="s">
        <v>364</v>
      </c>
      <c r="B94" s="165"/>
      <c r="C94" s="165">
        <v>60000</v>
      </c>
      <c r="D94" s="165"/>
      <c r="E94" s="129">
        <f t="shared" si="3"/>
        <v>60000</v>
      </c>
      <c r="F94" s="130">
        <f t="shared" si="4"/>
        <v>0.1435942590278124</v>
      </c>
      <c r="G94" s="94"/>
    </row>
    <row r="95" spans="1:7" ht="12.75" customHeight="1">
      <c r="A95" s="1" t="s">
        <v>182</v>
      </c>
      <c r="B95" s="165">
        <v>30000</v>
      </c>
      <c r="C95" s="165">
        <v>30000</v>
      </c>
      <c r="D95" s="165">
        <v>30000</v>
      </c>
      <c r="E95" s="129">
        <f t="shared" si="3"/>
        <v>90000</v>
      </c>
      <c r="F95" s="130">
        <f t="shared" si="4"/>
        <v>0.21539138854171858</v>
      </c>
      <c r="G95" s="94"/>
    </row>
    <row r="96" spans="1:7" ht="12.75" customHeight="1">
      <c r="A96" s="1" t="s">
        <v>222</v>
      </c>
      <c r="B96" s="165"/>
      <c r="C96" s="165">
        <v>60000</v>
      </c>
      <c r="D96" s="165">
        <v>60000</v>
      </c>
      <c r="E96" s="129">
        <f t="shared" si="3"/>
        <v>120000</v>
      </c>
      <c r="F96" s="130">
        <f t="shared" si="4"/>
        <v>0.2871885180556248</v>
      </c>
      <c r="G96" s="94"/>
    </row>
    <row r="97" spans="1:7" ht="12.75" customHeight="1">
      <c r="A97" s="1" t="s">
        <v>381</v>
      </c>
      <c r="B97" s="165">
        <f>24940+100000</f>
        <v>124940</v>
      </c>
      <c r="C97" s="165"/>
      <c r="D97" s="165">
        <v>100000</v>
      </c>
      <c r="E97" s="129">
        <f t="shared" si="3"/>
        <v>224940</v>
      </c>
      <c r="F97" s="130">
        <f t="shared" si="4"/>
        <v>0.5383348770952687</v>
      </c>
      <c r="G97" s="94"/>
    </row>
    <row r="98" spans="1:7" ht="12.75" customHeight="1">
      <c r="A98" s="1" t="s">
        <v>157</v>
      </c>
      <c r="B98" s="165">
        <v>55000</v>
      </c>
      <c r="C98" s="165">
        <v>55000</v>
      </c>
      <c r="D98" s="165">
        <f>9817.08+55000</f>
        <v>64817.08</v>
      </c>
      <c r="E98" s="129">
        <f t="shared" si="3"/>
        <v>174817.08000000002</v>
      </c>
      <c r="F98" s="130">
        <f t="shared" si="4"/>
        <v>0.4183788178000967</v>
      </c>
      <c r="G98" s="94"/>
    </row>
    <row r="99" spans="1:7" ht="12.75" customHeight="1">
      <c r="A99" s="1" t="s">
        <v>118</v>
      </c>
      <c r="B99" s="165"/>
      <c r="C99" s="165">
        <v>30000</v>
      </c>
      <c r="D99" s="165"/>
      <c r="E99" s="129">
        <f t="shared" si="3"/>
        <v>30000</v>
      </c>
      <c r="F99" s="130">
        <f t="shared" si="4"/>
        <v>0.0717971295139062</v>
      </c>
      <c r="G99" s="94"/>
    </row>
    <row r="100" spans="1:7" ht="12.75" customHeight="1">
      <c r="A100" s="1" t="s">
        <v>105</v>
      </c>
      <c r="B100" s="165">
        <f>30000+110000</f>
        <v>140000</v>
      </c>
      <c r="C100" s="165">
        <f>80000+110000</f>
        <v>190000</v>
      </c>
      <c r="D100" s="165">
        <v>110000</v>
      </c>
      <c r="E100" s="129">
        <f t="shared" si="3"/>
        <v>440000</v>
      </c>
      <c r="F100" s="130">
        <f t="shared" si="4"/>
        <v>1.0530245662039575</v>
      </c>
      <c r="G100" s="94"/>
    </row>
    <row r="101" spans="1:7" ht="12.75" customHeight="1">
      <c r="A101" s="1" t="s">
        <v>197</v>
      </c>
      <c r="B101" s="165">
        <f>366000+80000</f>
        <v>446000</v>
      </c>
      <c r="C101" s="165"/>
      <c r="D101" s="165">
        <f>709714+175000</f>
        <v>884714</v>
      </c>
      <c r="E101" s="129">
        <f t="shared" si="3"/>
        <v>1330714</v>
      </c>
      <c r="F101" s="130">
        <f t="shared" si="4"/>
        <v>3.184714846798939</v>
      </c>
      <c r="G101" s="94"/>
    </row>
    <row r="102" spans="1:7" ht="12.75" customHeight="1">
      <c r="A102" s="1" t="s">
        <v>368</v>
      </c>
      <c r="B102" s="165"/>
      <c r="C102" s="165">
        <v>30000</v>
      </c>
      <c r="D102" s="165">
        <v>15000</v>
      </c>
      <c r="E102" s="129">
        <f t="shared" si="3"/>
        <v>45000</v>
      </c>
      <c r="F102" s="130">
        <f t="shared" si="4"/>
        <v>0.10769569427085929</v>
      </c>
      <c r="G102" s="94"/>
    </row>
    <row r="103" spans="1:7" ht="12" customHeight="1">
      <c r="A103" s="1" t="s">
        <v>226</v>
      </c>
      <c r="B103" s="165">
        <v>40000</v>
      </c>
      <c r="C103" s="165">
        <v>40000</v>
      </c>
      <c r="D103" s="165">
        <v>40000</v>
      </c>
      <c r="E103" s="129">
        <f t="shared" si="3"/>
        <v>120000</v>
      </c>
      <c r="F103" s="130">
        <f t="shared" si="4"/>
        <v>0.2871885180556248</v>
      </c>
      <c r="G103" s="94"/>
    </row>
    <row r="104" spans="1:7" ht="12" customHeight="1">
      <c r="A104" s="1" t="s">
        <v>298</v>
      </c>
      <c r="B104" s="165">
        <v>50000</v>
      </c>
      <c r="C104" s="165">
        <v>25000</v>
      </c>
      <c r="D104" s="165">
        <v>25000</v>
      </c>
      <c r="E104" s="129">
        <f t="shared" si="3"/>
        <v>100000</v>
      </c>
      <c r="F104" s="130">
        <f t="shared" si="4"/>
        <v>0.23932376504635397</v>
      </c>
      <c r="G104" s="94"/>
    </row>
    <row r="105" spans="1:7" ht="12" customHeight="1">
      <c r="A105" s="1" t="s">
        <v>223</v>
      </c>
      <c r="B105" s="165">
        <f>100000+45000</f>
        <v>145000</v>
      </c>
      <c r="C105" s="165">
        <f>-45000+100000</f>
        <v>55000</v>
      </c>
      <c r="D105" s="165">
        <f>69948+100000</f>
        <v>169948</v>
      </c>
      <c r="E105" s="129">
        <f t="shared" si="3"/>
        <v>369948</v>
      </c>
      <c r="F105" s="130">
        <f t="shared" si="4"/>
        <v>0.8853734823136856</v>
      </c>
      <c r="G105" s="94"/>
    </row>
    <row r="106" spans="1:7" ht="12" customHeight="1">
      <c r="A106" s="1" t="s">
        <v>224</v>
      </c>
      <c r="B106" s="165">
        <f>120000+90000</f>
        <v>210000</v>
      </c>
      <c r="C106" s="165">
        <v>80000</v>
      </c>
      <c r="D106" s="165">
        <f>40000+90000</f>
        <v>130000</v>
      </c>
      <c r="E106" s="129">
        <f t="shared" si="3"/>
        <v>420000</v>
      </c>
      <c r="F106" s="130">
        <f t="shared" si="4"/>
        <v>1.0051598131946866</v>
      </c>
      <c r="G106" s="94"/>
    </row>
    <row r="107" spans="1:7" ht="12" customHeight="1">
      <c r="A107" s="1" t="s">
        <v>273</v>
      </c>
      <c r="B107" s="165">
        <v>90000</v>
      </c>
      <c r="C107" s="165">
        <v>90000</v>
      </c>
      <c r="D107" s="165">
        <f>154144+90000</f>
        <v>244144</v>
      </c>
      <c r="E107" s="129">
        <f t="shared" si="3"/>
        <v>424144</v>
      </c>
      <c r="F107" s="130">
        <f t="shared" si="4"/>
        <v>1.0150773900182077</v>
      </c>
      <c r="G107" s="94"/>
    </row>
    <row r="108" spans="1:7" ht="12" customHeight="1">
      <c r="A108" s="1" t="s">
        <v>225</v>
      </c>
      <c r="B108" s="165">
        <v>100000</v>
      </c>
      <c r="C108" s="165">
        <f>100000+100000</f>
        <v>200000</v>
      </c>
      <c r="D108" s="165">
        <f>216860+100000</f>
        <v>316860</v>
      </c>
      <c r="E108" s="129">
        <f t="shared" si="3"/>
        <v>616860</v>
      </c>
      <c r="F108" s="125">
        <f t="shared" si="4"/>
        <v>1.476292577064939</v>
      </c>
      <c r="G108" s="94"/>
    </row>
    <row r="109" spans="2:7" ht="9" customHeight="1">
      <c r="B109" s="165"/>
      <c r="C109" s="165"/>
      <c r="D109" s="165"/>
      <c r="E109" s="165"/>
      <c r="F109" s="125"/>
      <c r="G109" s="94"/>
    </row>
    <row r="110" spans="1:7" ht="12" customHeight="1" thickBot="1">
      <c r="A110" s="4" t="s">
        <v>165</v>
      </c>
      <c r="B110" s="146">
        <f>SUM(B9:B109)</f>
        <v>16995312.08</v>
      </c>
      <c r="C110" s="146">
        <f>SUM(C9:C109)</f>
        <v>11293128.590000002</v>
      </c>
      <c r="D110" s="146">
        <f>SUM(D9:D109)</f>
        <v>13495959.630000003</v>
      </c>
      <c r="E110" s="146">
        <f>SUM(E9:E109)</f>
        <v>41784400.29999999</v>
      </c>
      <c r="F110" s="146">
        <f>SUM(F9:F109)</f>
        <v>100.00000000000001</v>
      </c>
      <c r="G110" s="94"/>
    </row>
    <row r="111" spans="2:7" ht="12" customHeight="1" thickTop="1">
      <c r="B111" s="94"/>
      <c r="C111" s="94"/>
      <c r="D111" s="94"/>
      <c r="E111" s="94"/>
      <c r="F111" s="94"/>
      <c r="G111" s="94"/>
    </row>
    <row r="112" spans="2:7" ht="12.75">
      <c r="B112" s="135"/>
      <c r="C112" s="135"/>
      <c r="D112" s="94"/>
      <c r="E112" s="94"/>
      <c r="F112" s="94"/>
      <c r="G112" s="94"/>
    </row>
    <row r="113" spans="2:7" ht="12.75">
      <c r="B113" s="135"/>
      <c r="C113" s="135"/>
      <c r="D113" s="165"/>
      <c r="E113" s="94"/>
      <c r="F113" s="94"/>
      <c r="G113" s="94"/>
    </row>
    <row r="114" spans="2:3" ht="12.75">
      <c r="B114" s="37"/>
      <c r="C114" s="37"/>
    </row>
  </sheetData>
  <sheetProtection/>
  <mergeCells count="5">
    <mergeCell ref="A5:F5"/>
    <mergeCell ref="E1:F1"/>
    <mergeCell ref="A2:F2"/>
    <mergeCell ref="A3:F3"/>
    <mergeCell ref="A4:F4"/>
  </mergeCells>
  <printOptions/>
  <pageMargins left="0.82" right="0.56" top="0.7874015748031497" bottom="0.7480314960629921" header="0" footer="0.3937007874015748"/>
  <pageSetup horizontalDpi="600" verticalDpi="600" orientation="portrait" r:id="rId1"/>
  <headerFooter alignWithMargins="0">
    <oddFooter>&amp;R&amp;P de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PageLayoutView="0" workbookViewId="0" topLeftCell="A1">
      <selection activeCell="L34" sqref="L34"/>
    </sheetView>
  </sheetViews>
  <sheetFormatPr defaultColWidth="11.421875" defaultRowHeight="12.75"/>
  <cols>
    <col min="1" max="1" width="40.7109375" style="1" customWidth="1"/>
    <col min="2" max="5" width="11.28125" style="22" customWidth="1"/>
    <col min="6" max="6" width="6.57421875" style="1" customWidth="1"/>
    <col min="7" max="7" width="2.57421875" style="1" customWidth="1"/>
    <col min="8" max="16384" width="11.421875" style="1" customWidth="1"/>
  </cols>
  <sheetData>
    <row r="1" spans="1:6" s="217" customFormat="1" ht="12.75">
      <c r="A1" s="214"/>
      <c r="B1" s="215"/>
      <c r="C1" s="215"/>
      <c r="D1" s="215"/>
      <c r="E1" s="289" t="s">
        <v>130</v>
      </c>
      <c r="F1" s="289"/>
    </row>
    <row r="2" spans="1:6" s="217" customFormat="1" ht="12.75">
      <c r="A2" s="288" t="s">
        <v>283</v>
      </c>
      <c r="B2" s="288"/>
      <c r="C2" s="288"/>
      <c r="D2" s="288"/>
      <c r="E2" s="288"/>
      <c r="F2" s="288"/>
    </row>
    <row r="3" spans="1:6" s="217" customFormat="1" ht="12.75">
      <c r="A3" s="290" t="s">
        <v>406</v>
      </c>
      <c r="B3" s="290"/>
      <c r="C3" s="290"/>
      <c r="D3" s="290"/>
      <c r="E3" s="290"/>
      <c r="F3" s="290"/>
    </row>
    <row r="4" spans="1:6" s="217" customFormat="1" ht="12.75">
      <c r="A4" s="288" t="s">
        <v>296</v>
      </c>
      <c r="B4" s="288"/>
      <c r="C4" s="288"/>
      <c r="D4" s="288"/>
      <c r="E4" s="288"/>
      <c r="F4" s="288"/>
    </row>
    <row r="5" spans="1:7" s="224" customFormat="1" ht="12.75">
      <c r="A5" s="287" t="s">
        <v>476</v>
      </c>
      <c r="B5" s="287"/>
      <c r="C5" s="287"/>
      <c r="D5" s="287"/>
      <c r="E5" s="287"/>
      <c r="F5" s="287"/>
      <c r="G5" s="223"/>
    </row>
    <row r="6" spans="1:6" ht="18.75" customHeight="1">
      <c r="A6" s="16"/>
      <c r="B6" s="16"/>
      <c r="C6" s="16"/>
      <c r="D6" s="16"/>
      <c r="E6" s="16"/>
      <c r="F6" s="16"/>
    </row>
    <row r="7" spans="1:6" ht="26.25" customHeight="1">
      <c r="A7" s="218" t="s">
        <v>19</v>
      </c>
      <c r="B7" s="219" t="s">
        <v>473</v>
      </c>
      <c r="C7" s="219" t="s">
        <v>474</v>
      </c>
      <c r="D7" s="219" t="s">
        <v>475</v>
      </c>
      <c r="E7" s="218" t="s">
        <v>20</v>
      </c>
      <c r="F7" s="220" t="s">
        <v>21</v>
      </c>
    </row>
    <row r="8" spans="1:6" ht="9" customHeight="1">
      <c r="A8" s="2"/>
      <c r="B8" s="23"/>
      <c r="C8" s="23"/>
      <c r="D8" s="23"/>
      <c r="E8" s="23"/>
      <c r="F8" s="71"/>
    </row>
    <row r="9" spans="1:6" ht="12.75">
      <c r="A9" s="6" t="s">
        <v>148</v>
      </c>
      <c r="B9" s="165">
        <v>70000</v>
      </c>
      <c r="C9" s="165">
        <v>80000</v>
      </c>
      <c r="D9" s="165">
        <v>72200</v>
      </c>
      <c r="E9" s="129">
        <f aca="true" t="shared" si="0" ref="E9:E23">SUM(B9:D9)</f>
        <v>222200</v>
      </c>
      <c r="F9" s="130">
        <f aca="true" t="shared" si="1" ref="F9:F23">(E9/$E$25*100)</f>
        <v>6.708579164114418</v>
      </c>
    </row>
    <row r="10" spans="1:6" ht="12.75">
      <c r="A10" s="1" t="s">
        <v>350</v>
      </c>
      <c r="B10" s="165"/>
      <c r="C10" s="165"/>
      <c r="D10" s="165">
        <v>6000</v>
      </c>
      <c r="E10" s="129">
        <f t="shared" si="0"/>
        <v>6000</v>
      </c>
      <c r="F10" s="130">
        <f t="shared" si="1"/>
        <v>0.18114975240632994</v>
      </c>
    </row>
    <row r="11" spans="1:6" ht="12.75">
      <c r="A11" s="53" t="s">
        <v>185</v>
      </c>
      <c r="B11" s="165">
        <v>817453.32</v>
      </c>
      <c r="C11" s="165">
        <v>379968.27</v>
      </c>
      <c r="D11" s="165">
        <v>406612.24</v>
      </c>
      <c r="E11" s="129">
        <f t="shared" si="0"/>
        <v>1604033.8299999998</v>
      </c>
      <c r="F11" s="130">
        <f t="shared" si="1"/>
        <v>48.42838852597951</v>
      </c>
    </row>
    <row r="12" spans="1:6" ht="12.75">
      <c r="A12" s="1" t="s">
        <v>178</v>
      </c>
      <c r="B12" s="165"/>
      <c r="C12" s="165"/>
      <c r="D12" s="165">
        <v>108000</v>
      </c>
      <c r="E12" s="129">
        <f t="shared" si="0"/>
        <v>108000</v>
      </c>
      <c r="F12" s="130">
        <f t="shared" si="1"/>
        <v>3.2606955433139384</v>
      </c>
    </row>
    <row r="13" spans="1:6" ht="12.75">
      <c r="A13" s="1" t="s">
        <v>139</v>
      </c>
      <c r="B13" s="165"/>
      <c r="C13" s="165">
        <v>29000</v>
      </c>
      <c r="D13" s="165">
        <v>14000</v>
      </c>
      <c r="E13" s="129">
        <f t="shared" si="0"/>
        <v>43000</v>
      </c>
      <c r="F13" s="130">
        <f t="shared" si="1"/>
        <v>1.2982398922453644</v>
      </c>
    </row>
    <row r="14" spans="1:6" ht="12.75">
      <c r="A14" s="1" t="s">
        <v>180</v>
      </c>
      <c r="B14" s="165"/>
      <c r="C14" s="165"/>
      <c r="D14" s="165">
        <v>12000</v>
      </c>
      <c r="E14" s="129">
        <f t="shared" si="0"/>
        <v>12000</v>
      </c>
      <c r="F14" s="130">
        <f t="shared" si="1"/>
        <v>0.3622995048126599</v>
      </c>
    </row>
    <row r="15" spans="1:6" ht="12.75">
      <c r="A15" s="1" t="s">
        <v>150</v>
      </c>
      <c r="B15" s="165"/>
      <c r="C15" s="165"/>
      <c r="D15" s="165">
        <v>8400</v>
      </c>
      <c r="E15" s="129">
        <f t="shared" si="0"/>
        <v>8400</v>
      </c>
      <c r="F15" s="130">
        <f t="shared" si="1"/>
        <v>0.2536096533688619</v>
      </c>
    </row>
    <row r="16" spans="1:6" ht="12.75">
      <c r="A16" s="1" t="s">
        <v>92</v>
      </c>
      <c r="B16" s="156"/>
      <c r="C16" s="129">
        <v>353125</v>
      </c>
      <c r="D16" s="156"/>
      <c r="E16" s="129">
        <f t="shared" si="0"/>
        <v>353125</v>
      </c>
      <c r="F16" s="130">
        <f t="shared" si="1"/>
        <v>10.661417719747542</v>
      </c>
    </row>
    <row r="17" spans="1:6" ht="12.75">
      <c r="A17" s="1" t="s">
        <v>346</v>
      </c>
      <c r="B17" s="156">
        <v>1800</v>
      </c>
      <c r="C17" s="129">
        <v>600</v>
      </c>
      <c r="D17" s="156">
        <v>250</v>
      </c>
      <c r="E17" s="129">
        <f t="shared" si="0"/>
        <v>2650</v>
      </c>
      <c r="F17" s="130">
        <f t="shared" si="1"/>
        <v>0.0800078073127957</v>
      </c>
    </row>
    <row r="18" spans="1:6" ht="12.75">
      <c r="A18" s="1" t="s">
        <v>87</v>
      </c>
      <c r="B18" s="156"/>
      <c r="C18" s="129">
        <v>12000</v>
      </c>
      <c r="D18" s="156">
        <v>12000</v>
      </c>
      <c r="E18" s="129">
        <f t="shared" si="0"/>
        <v>24000</v>
      </c>
      <c r="F18" s="130">
        <f t="shared" si="1"/>
        <v>0.7245990096253198</v>
      </c>
    </row>
    <row r="19" spans="1:6" ht="12.75">
      <c r="A19" s="1" t="s">
        <v>340</v>
      </c>
      <c r="B19" s="156"/>
      <c r="C19" s="129">
        <v>31000</v>
      </c>
      <c r="D19" s="156">
        <v>872850</v>
      </c>
      <c r="E19" s="129">
        <f t="shared" si="0"/>
        <v>903850</v>
      </c>
      <c r="F19" s="130">
        <f t="shared" si="1"/>
        <v>27.28870061874355</v>
      </c>
    </row>
    <row r="20" spans="1:6" ht="12.75">
      <c r="A20" s="1" t="s">
        <v>220</v>
      </c>
      <c r="B20" s="156">
        <v>16000</v>
      </c>
      <c r="C20" s="129">
        <v>16000</v>
      </c>
      <c r="D20" s="156"/>
      <c r="E20" s="129">
        <f t="shared" si="0"/>
        <v>32000</v>
      </c>
      <c r="F20" s="130">
        <f t="shared" si="1"/>
        <v>0.9661320128337595</v>
      </c>
    </row>
    <row r="21" spans="1:6" ht="12.75">
      <c r="A21" s="1" t="s">
        <v>540</v>
      </c>
      <c r="B21" s="156">
        <v>-48420.35</v>
      </c>
      <c r="C21" s="129"/>
      <c r="D21" s="156"/>
      <c r="E21" s="129">
        <f t="shared" si="0"/>
        <v>-48420.35</v>
      </c>
      <c r="F21" s="130">
        <f t="shared" si="1"/>
        <v>-1.4618890689879729</v>
      </c>
    </row>
    <row r="22" spans="1:6" ht="12.75">
      <c r="A22" s="1" t="s">
        <v>345</v>
      </c>
      <c r="B22" s="156"/>
      <c r="C22" s="129">
        <v>29838.28</v>
      </c>
      <c r="D22" s="156">
        <v>9200</v>
      </c>
      <c r="E22" s="129">
        <f t="shared" si="0"/>
        <v>39038.28</v>
      </c>
      <c r="F22" s="130">
        <f t="shared" si="1"/>
        <v>1.1786291260614967</v>
      </c>
    </row>
    <row r="23" spans="1:6" ht="12.75">
      <c r="A23" s="1" t="s">
        <v>94</v>
      </c>
      <c r="B23" s="156"/>
      <c r="C23" s="129"/>
      <c r="D23" s="156">
        <v>2300</v>
      </c>
      <c r="E23" s="129">
        <f t="shared" si="0"/>
        <v>2300</v>
      </c>
      <c r="F23" s="130">
        <f t="shared" si="1"/>
        <v>0.06944073842242647</v>
      </c>
    </row>
    <row r="24" spans="2:6" ht="9" customHeight="1">
      <c r="B24" s="165"/>
      <c r="C24" s="165"/>
      <c r="D24" s="165"/>
      <c r="E24" s="129"/>
      <c r="F24" s="130"/>
    </row>
    <row r="25" spans="1:7" ht="13.5" thickBot="1">
      <c r="A25" s="4" t="s">
        <v>107</v>
      </c>
      <c r="B25" s="171">
        <f>SUM(B9:B24)</f>
        <v>856832.97</v>
      </c>
      <c r="C25" s="171">
        <f>SUM(C9:C24)</f>
        <v>931531.55</v>
      </c>
      <c r="D25" s="171">
        <f>SUM(D9:D24)</f>
        <v>1523812.24</v>
      </c>
      <c r="E25" s="171">
        <f>SUM(E9:E24)</f>
        <v>3312176.76</v>
      </c>
      <c r="F25" s="171">
        <f>SUM(F9:F24)</f>
        <v>99.99999999999999</v>
      </c>
      <c r="G25" s="72"/>
    </row>
    <row r="26" spans="2:6" ht="13.5" thickTop="1">
      <c r="B26" s="94"/>
      <c r="C26" s="94"/>
      <c r="D26" s="94"/>
      <c r="E26" s="94"/>
      <c r="F26" s="94"/>
    </row>
    <row r="27" ht="12.75">
      <c r="D27" s="24"/>
    </row>
    <row r="28" ht="12.75">
      <c r="D28" s="24"/>
    </row>
    <row r="49" ht="12.75">
      <c r="A49" s="8"/>
    </row>
    <row r="50" ht="12.75">
      <c r="A50" s="8"/>
    </row>
    <row r="51" spans="1:7" ht="12.75">
      <c r="A51" s="18"/>
      <c r="B51" s="80"/>
      <c r="C51" s="80"/>
      <c r="D51" s="80"/>
      <c r="E51" s="80"/>
      <c r="F51" s="80"/>
      <c r="G51" s="80"/>
    </row>
  </sheetData>
  <sheetProtection/>
  <mergeCells count="5">
    <mergeCell ref="A5:F5"/>
    <mergeCell ref="E1:F1"/>
    <mergeCell ref="A2:F2"/>
    <mergeCell ref="A3:F3"/>
    <mergeCell ref="A4:F4"/>
  </mergeCells>
  <printOptions/>
  <pageMargins left="0.8661417322834646" right="0.5905511811023623" top="0.7874015748031497" bottom="0.7086614173228347" header="0" footer="0"/>
  <pageSetup fitToHeight="1" fitToWidth="1" horizontalDpi="600" verticalDpi="600" orientation="portrait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G38" sqref="G38"/>
    </sheetView>
  </sheetViews>
  <sheetFormatPr defaultColWidth="11.421875" defaultRowHeight="12.75"/>
  <cols>
    <col min="1" max="1" width="37.140625" style="1" customWidth="1"/>
    <col min="2" max="3" width="11.421875" style="22" customWidth="1"/>
    <col min="4" max="4" width="11.140625" style="22" customWidth="1"/>
    <col min="5" max="5" width="12.00390625" style="22" bestFit="1" customWidth="1"/>
    <col min="6" max="6" width="6.8515625" style="1" bestFit="1" customWidth="1"/>
    <col min="7" max="16384" width="11.421875" style="1" customWidth="1"/>
  </cols>
  <sheetData>
    <row r="1" spans="1:6" s="217" customFormat="1" ht="12.75">
      <c r="A1" s="214"/>
      <c r="B1" s="215"/>
      <c r="C1" s="215"/>
      <c r="D1" s="215"/>
      <c r="E1" s="289" t="s">
        <v>131</v>
      </c>
      <c r="F1" s="289"/>
    </row>
    <row r="2" spans="1:6" s="217" customFormat="1" ht="12.75">
      <c r="A2" s="288" t="s">
        <v>283</v>
      </c>
      <c r="B2" s="288"/>
      <c r="C2" s="288"/>
      <c r="D2" s="288"/>
      <c r="E2" s="288"/>
      <c r="F2" s="288"/>
    </row>
    <row r="3" spans="1:6" s="217" customFormat="1" ht="12.75">
      <c r="A3" s="290" t="s">
        <v>406</v>
      </c>
      <c r="B3" s="290"/>
      <c r="C3" s="290"/>
      <c r="D3" s="290"/>
      <c r="E3" s="290"/>
      <c r="F3" s="290"/>
    </row>
    <row r="4" spans="1:6" s="217" customFormat="1" ht="12.75">
      <c r="A4" s="288" t="s">
        <v>297</v>
      </c>
      <c r="B4" s="288"/>
      <c r="C4" s="288"/>
      <c r="D4" s="288"/>
      <c r="E4" s="288"/>
      <c r="F4" s="288"/>
    </row>
    <row r="5" spans="1:7" s="224" customFormat="1" ht="12.75">
      <c r="A5" s="287" t="s">
        <v>476</v>
      </c>
      <c r="B5" s="287"/>
      <c r="C5" s="287"/>
      <c r="D5" s="287"/>
      <c r="E5" s="287"/>
      <c r="F5" s="287"/>
      <c r="G5" s="223"/>
    </row>
    <row r="6" spans="1:6" ht="18.75" customHeight="1">
      <c r="A6" s="16"/>
      <c r="B6" s="16"/>
      <c r="C6" s="16"/>
      <c r="D6" s="16"/>
      <c r="E6" s="16"/>
      <c r="F6" s="16"/>
    </row>
    <row r="7" spans="1:6" ht="26.25" customHeight="1">
      <c r="A7" s="218" t="s">
        <v>19</v>
      </c>
      <c r="B7" s="219" t="s">
        <v>473</v>
      </c>
      <c r="C7" s="219" t="s">
        <v>474</v>
      </c>
      <c r="D7" s="219" t="s">
        <v>475</v>
      </c>
      <c r="E7" s="218" t="s">
        <v>20</v>
      </c>
      <c r="F7" s="220" t="s">
        <v>21</v>
      </c>
    </row>
    <row r="8" spans="2:6" ht="9" customHeight="1">
      <c r="B8" s="23"/>
      <c r="C8" s="23"/>
      <c r="D8" s="23"/>
      <c r="E8" s="23"/>
      <c r="F8" s="2"/>
    </row>
    <row r="9" spans="1:6" ht="13.5" customHeight="1">
      <c r="A9" s="1" t="s">
        <v>91</v>
      </c>
      <c r="B9" s="172">
        <f>289922.36-22389-872</f>
        <v>266661.36</v>
      </c>
      <c r="C9" s="172">
        <v>252098.15</v>
      </c>
      <c r="D9" s="165">
        <v>89132.39</v>
      </c>
      <c r="E9" s="165">
        <f>SUM(B9:D9)</f>
        <v>607891.9</v>
      </c>
      <c r="F9" s="130">
        <f>(E9/$E$13*100)</f>
        <v>7.317016862427862</v>
      </c>
    </row>
    <row r="10" spans="1:6" ht="13.5" customHeight="1">
      <c r="A10" s="1" t="s">
        <v>180</v>
      </c>
      <c r="B10" s="165">
        <v>4259366.56</v>
      </c>
      <c r="C10" s="172">
        <v>-59338.56</v>
      </c>
      <c r="D10" s="165"/>
      <c r="E10" s="165">
        <f>SUM(B10:D10)</f>
        <v>4200028</v>
      </c>
      <c r="F10" s="130">
        <f>(E10/$E$13*100)</f>
        <v>50.55450763313208</v>
      </c>
    </row>
    <row r="11" spans="1:6" ht="13.5" customHeight="1">
      <c r="A11" s="1" t="s">
        <v>135</v>
      </c>
      <c r="B11" s="165"/>
      <c r="C11" s="172"/>
      <c r="D11" s="165">
        <v>3500000</v>
      </c>
      <c r="E11" s="165">
        <f>SUM(B11:D11)</f>
        <v>3500000</v>
      </c>
      <c r="F11" s="130">
        <f>(E11/$E$13*100)</f>
        <v>42.12847550444005</v>
      </c>
    </row>
    <row r="12" spans="2:6" ht="9" customHeight="1">
      <c r="B12" s="165"/>
      <c r="C12" s="165"/>
      <c r="D12" s="129"/>
      <c r="E12" s="165"/>
      <c r="F12" s="130"/>
    </row>
    <row r="13" spans="1:6" ht="13.5" thickBot="1">
      <c r="A13" s="242" t="s">
        <v>107</v>
      </c>
      <c r="B13" s="146">
        <f>SUM(B9:B11)</f>
        <v>4526027.92</v>
      </c>
      <c r="C13" s="146">
        <f>SUM(C9:C11)</f>
        <v>192759.59</v>
      </c>
      <c r="D13" s="146">
        <f>SUM(D9:D11)</f>
        <v>3589132.39</v>
      </c>
      <c r="E13" s="146">
        <f>SUM(E9:E11)</f>
        <v>8307919.9</v>
      </c>
      <c r="F13" s="146">
        <f>SUM(F9:F11)</f>
        <v>100</v>
      </c>
    </row>
    <row r="14" ht="13.5" thickTop="1"/>
  </sheetData>
  <sheetProtection/>
  <mergeCells count="5">
    <mergeCell ref="A5:F5"/>
    <mergeCell ref="E1:F1"/>
    <mergeCell ref="A2:F2"/>
    <mergeCell ref="A3:F3"/>
    <mergeCell ref="A4:F4"/>
  </mergeCells>
  <printOptions/>
  <pageMargins left="0.8661417322834646" right="0.5905511811023623" top="0.7874015748031497" bottom="0.984251968503937" header="0" footer="0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98"/>
  <sheetViews>
    <sheetView tabSelected="1" zoomScalePageLayoutView="0" workbookViewId="0" topLeftCell="A1">
      <selection activeCell="G36" sqref="G35:G36"/>
    </sheetView>
  </sheetViews>
  <sheetFormatPr defaultColWidth="11.421875" defaultRowHeight="12.75"/>
  <cols>
    <col min="1" max="1" width="45.00390625" style="0" customWidth="1"/>
    <col min="2" max="2" width="16.421875" style="0" customWidth="1"/>
    <col min="3" max="3" width="12.7109375" style="0" customWidth="1"/>
    <col min="4" max="4" width="13.57421875" style="0" customWidth="1"/>
    <col min="5" max="5" width="2.28125" style="271" customWidth="1"/>
  </cols>
  <sheetData>
    <row r="1" spans="1:5" s="250" customFormat="1" ht="12.75">
      <c r="A1" s="214"/>
      <c r="B1" s="214"/>
      <c r="C1" s="227"/>
      <c r="D1" s="216" t="s">
        <v>18</v>
      </c>
      <c r="E1" s="227"/>
    </row>
    <row r="2" spans="1:5" s="250" customFormat="1" ht="12.75">
      <c r="A2" s="288" t="s">
        <v>283</v>
      </c>
      <c r="B2" s="288"/>
      <c r="C2" s="288"/>
      <c r="D2" s="288"/>
      <c r="E2" s="227"/>
    </row>
    <row r="3" spans="1:5" s="250" customFormat="1" ht="12.75">
      <c r="A3" s="288" t="s">
        <v>406</v>
      </c>
      <c r="B3" s="288"/>
      <c r="C3" s="288"/>
      <c r="D3" s="288"/>
      <c r="E3" s="227"/>
    </row>
    <row r="4" spans="1:5" s="250" customFormat="1" ht="12.75">
      <c r="A4" s="287" t="s">
        <v>502</v>
      </c>
      <c r="B4" s="288"/>
      <c r="C4" s="288"/>
      <c r="D4" s="288"/>
      <c r="E4" s="227"/>
    </row>
    <row r="5" spans="1:5" ht="18.75" customHeight="1">
      <c r="A5" s="87"/>
      <c r="B5" s="87"/>
      <c r="C5" s="87"/>
      <c r="D5" s="87"/>
      <c r="E5" s="3"/>
    </row>
    <row r="6" spans="1:5" ht="26.25" customHeight="1">
      <c r="A6" s="220" t="s">
        <v>173</v>
      </c>
      <c r="B6" s="220" t="s">
        <v>132</v>
      </c>
      <c r="C6" s="220" t="s">
        <v>106</v>
      </c>
      <c r="D6" s="221" t="s">
        <v>20</v>
      </c>
      <c r="E6" s="3"/>
    </row>
    <row r="7" spans="1:5" ht="16.5" customHeight="1">
      <c r="A7" s="2"/>
      <c r="B7" s="2"/>
      <c r="C7" s="2"/>
      <c r="D7" s="23"/>
      <c r="E7" s="3"/>
    </row>
    <row r="8" spans="1:5" ht="12.75">
      <c r="A8" s="73" t="s">
        <v>240</v>
      </c>
      <c r="B8" s="7"/>
      <c r="C8" s="74"/>
      <c r="D8" s="23"/>
      <c r="E8" s="3"/>
    </row>
    <row r="9" spans="1:5" ht="9" customHeight="1">
      <c r="A9" s="73"/>
      <c r="B9" s="7"/>
      <c r="C9" s="74"/>
      <c r="D9" s="23"/>
      <c r="E9" s="3"/>
    </row>
    <row r="10" spans="1:5" s="1" customFormat="1" ht="12.75">
      <c r="A10" s="241" t="s">
        <v>215</v>
      </c>
      <c r="B10" s="7"/>
      <c r="C10" s="74"/>
      <c r="D10" s="155">
        <v>261551</v>
      </c>
      <c r="E10" s="10" t="s">
        <v>23</v>
      </c>
    </row>
    <row r="11" spans="1:5" s="1" customFormat="1" ht="12.75">
      <c r="A11" s="43" t="s">
        <v>108</v>
      </c>
      <c r="B11" s="7" t="s">
        <v>186</v>
      </c>
      <c r="C11" s="74">
        <v>65500611562</v>
      </c>
      <c r="D11" s="155">
        <f>218430.83</f>
        <v>218430.83</v>
      </c>
      <c r="E11" s="10" t="s">
        <v>24</v>
      </c>
    </row>
    <row r="12" spans="1:5" s="1" customFormat="1" ht="12.75">
      <c r="A12" s="43" t="s">
        <v>209</v>
      </c>
      <c r="B12" s="7" t="s">
        <v>186</v>
      </c>
      <c r="C12" s="74">
        <v>65501752447</v>
      </c>
      <c r="D12" s="155">
        <v>9635.76</v>
      </c>
      <c r="E12" s="3"/>
    </row>
    <row r="13" spans="1:5" s="1" customFormat="1" ht="12.75">
      <c r="A13" s="40" t="s">
        <v>158</v>
      </c>
      <c r="B13" s="7" t="s">
        <v>186</v>
      </c>
      <c r="C13" s="74">
        <v>65501752433</v>
      </c>
      <c r="D13" s="155">
        <v>-1237232.1</v>
      </c>
      <c r="E13" s="10" t="s">
        <v>27</v>
      </c>
    </row>
    <row r="14" spans="1:5" s="1" customFormat="1" ht="12.75">
      <c r="A14" s="43" t="s">
        <v>210</v>
      </c>
      <c r="B14" s="7" t="s">
        <v>186</v>
      </c>
      <c r="C14" s="74">
        <v>65501761036</v>
      </c>
      <c r="D14" s="155">
        <v>317128.87</v>
      </c>
      <c r="E14" s="3"/>
    </row>
    <row r="15" spans="1:5" s="1" customFormat="1" ht="12.75">
      <c r="A15" s="43" t="s">
        <v>264</v>
      </c>
      <c r="B15" s="7" t="s">
        <v>186</v>
      </c>
      <c r="C15" s="74">
        <v>65501790364</v>
      </c>
      <c r="D15" s="155">
        <v>754234.68</v>
      </c>
      <c r="E15" s="3"/>
    </row>
    <row r="16" spans="1:5" s="1" customFormat="1" ht="12.75">
      <c r="A16" s="40" t="s">
        <v>550</v>
      </c>
      <c r="B16" s="7" t="s">
        <v>187</v>
      </c>
      <c r="C16" s="74" t="s">
        <v>111</v>
      </c>
      <c r="D16" s="155">
        <v>291767.65</v>
      </c>
      <c r="E16" s="3"/>
    </row>
    <row r="17" spans="1:5" s="1" customFormat="1" ht="12.75">
      <c r="A17" s="40" t="s">
        <v>550</v>
      </c>
      <c r="B17" s="7" t="s">
        <v>187</v>
      </c>
      <c r="C17" s="74">
        <v>162537494</v>
      </c>
      <c r="D17" s="155">
        <v>575636.99</v>
      </c>
      <c r="E17" s="3"/>
    </row>
    <row r="18" spans="1:5" s="1" customFormat="1" ht="12.75">
      <c r="A18" s="40" t="s">
        <v>554</v>
      </c>
      <c r="B18" s="7" t="s">
        <v>188</v>
      </c>
      <c r="C18" s="74">
        <v>4031053267</v>
      </c>
      <c r="D18" s="155">
        <v>9993.11</v>
      </c>
      <c r="E18" s="10"/>
    </row>
    <row r="19" spans="1:5" s="1" customFormat="1" ht="12.75">
      <c r="A19" s="40" t="s">
        <v>555</v>
      </c>
      <c r="B19" s="7" t="s">
        <v>188</v>
      </c>
      <c r="C19" s="74">
        <v>4044248151</v>
      </c>
      <c r="D19" s="155">
        <v>10000</v>
      </c>
      <c r="E19" s="10"/>
    </row>
    <row r="20" spans="1:5" s="1" customFormat="1" ht="12.75">
      <c r="A20" s="40" t="s">
        <v>158</v>
      </c>
      <c r="B20" s="7" t="s">
        <v>186</v>
      </c>
      <c r="C20" s="74">
        <v>51908075257</v>
      </c>
      <c r="D20" s="155">
        <v>63036.23</v>
      </c>
      <c r="E20" s="10"/>
    </row>
    <row r="21" spans="1:5" s="1" customFormat="1" ht="12.75">
      <c r="A21" s="40" t="s">
        <v>192</v>
      </c>
      <c r="B21" s="7" t="s">
        <v>122</v>
      </c>
      <c r="C21" s="75" t="s">
        <v>194</v>
      </c>
      <c r="D21" s="155">
        <v>4143577.94</v>
      </c>
      <c r="E21" s="3"/>
    </row>
    <row r="22" spans="1:4" s="1" customFormat="1" ht="12.75">
      <c r="A22" s="40" t="s">
        <v>192</v>
      </c>
      <c r="B22" s="7" t="s">
        <v>122</v>
      </c>
      <c r="C22" s="75" t="s">
        <v>365</v>
      </c>
      <c r="D22" s="155">
        <v>2090786.25</v>
      </c>
    </row>
    <row r="23" spans="1:5" s="1" customFormat="1" ht="12.75">
      <c r="A23" s="40" t="s">
        <v>191</v>
      </c>
      <c r="B23" s="7" t="s">
        <v>122</v>
      </c>
      <c r="C23" s="75" t="s">
        <v>366</v>
      </c>
      <c r="D23" s="155">
        <v>908701.7</v>
      </c>
      <c r="E23" s="3"/>
    </row>
    <row r="24" spans="1:5" s="1" customFormat="1" ht="12.75">
      <c r="A24" s="40" t="s">
        <v>551</v>
      </c>
      <c r="B24" s="7" t="s">
        <v>186</v>
      </c>
      <c r="C24" s="74">
        <v>65501896472</v>
      </c>
      <c r="D24" s="155">
        <v>138046.96</v>
      </c>
      <c r="E24" s="3"/>
    </row>
    <row r="25" spans="1:5" s="1" customFormat="1" ht="12.75">
      <c r="A25" s="43" t="s">
        <v>552</v>
      </c>
      <c r="B25" s="7" t="s">
        <v>186</v>
      </c>
      <c r="C25" s="74">
        <v>65501928095</v>
      </c>
      <c r="D25" s="155">
        <v>594281.67</v>
      </c>
      <c r="E25" s="3"/>
    </row>
    <row r="26" spans="1:5" s="1" customFormat="1" ht="12.75">
      <c r="A26" s="43" t="s">
        <v>553</v>
      </c>
      <c r="B26" s="7" t="s">
        <v>186</v>
      </c>
      <c r="C26" s="74">
        <v>65502360378</v>
      </c>
      <c r="D26" s="155">
        <v>-51222.68</v>
      </c>
      <c r="E26" s="10" t="s">
        <v>27</v>
      </c>
    </row>
    <row r="27" spans="1:5" s="1" customFormat="1" ht="12.75">
      <c r="A27" s="40" t="s">
        <v>191</v>
      </c>
      <c r="B27" s="7" t="s">
        <v>186</v>
      </c>
      <c r="C27" s="74">
        <v>65502468962</v>
      </c>
      <c r="D27" s="155">
        <v>-1091981.26</v>
      </c>
      <c r="E27" s="10" t="s">
        <v>241</v>
      </c>
    </row>
    <row r="28" spans="1:5" s="1" customFormat="1" ht="12.75">
      <c r="A28" s="40" t="s">
        <v>158</v>
      </c>
      <c r="B28" s="7" t="s">
        <v>186</v>
      </c>
      <c r="C28" s="74">
        <v>65502468993</v>
      </c>
      <c r="D28" s="155">
        <v>-5549457.88</v>
      </c>
      <c r="E28" s="10" t="s">
        <v>241</v>
      </c>
    </row>
    <row r="29" spans="1:5" s="1" customFormat="1" ht="12.75">
      <c r="A29" s="40" t="s">
        <v>391</v>
      </c>
      <c r="B29" s="7" t="s">
        <v>186</v>
      </c>
      <c r="C29" s="74">
        <v>65502558764</v>
      </c>
      <c r="D29" s="155">
        <v>47131.57</v>
      </c>
      <c r="E29" s="10"/>
    </row>
    <row r="30" spans="1:5" s="1" customFormat="1" ht="12.75">
      <c r="A30" s="40" t="s">
        <v>402</v>
      </c>
      <c r="B30" s="7" t="s">
        <v>186</v>
      </c>
      <c r="C30" s="74">
        <v>65502556058</v>
      </c>
      <c r="D30" s="155">
        <v>2366173.18</v>
      </c>
      <c r="E30" s="10"/>
    </row>
    <row r="31" spans="1:5" s="1" customFormat="1" ht="12.75">
      <c r="A31" s="40" t="s">
        <v>401</v>
      </c>
      <c r="B31" s="7" t="s">
        <v>186</v>
      </c>
      <c r="C31" s="74">
        <v>18000006604</v>
      </c>
      <c r="D31" s="155">
        <v>20311261.67</v>
      </c>
      <c r="E31" s="10"/>
    </row>
    <row r="32" spans="1:5" s="1" customFormat="1" ht="12.75">
      <c r="A32" s="40" t="s">
        <v>424</v>
      </c>
      <c r="B32" s="7" t="s">
        <v>186</v>
      </c>
      <c r="C32" s="74">
        <v>18000006683</v>
      </c>
      <c r="D32" s="155">
        <v>17677644.22</v>
      </c>
      <c r="E32" s="10"/>
    </row>
    <row r="33" spans="1:5" s="1" customFormat="1" ht="12.75">
      <c r="A33" s="40" t="s">
        <v>425</v>
      </c>
      <c r="B33" s="7" t="s">
        <v>186</v>
      </c>
      <c r="C33" s="74">
        <v>18000006666</v>
      </c>
      <c r="D33" s="155">
        <v>82491122.18</v>
      </c>
      <c r="E33" s="10"/>
    </row>
    <row r="34" spans="1:5" s="1" customFormat="1" ht="12.75">
      <c r="A34" s="40" t="s">
        <v>481</v>
      </c>
      <c r="B34" s="7" t="s">
        <v>186</v>
      </c>
      <c r="C34" s="74">
        <v>18000006743</v>
      </c>
      <c r="D34" s="155">
        <v>58657636.17</v>
      </c>
      <c r="E34" s="10"/>
    </row>
    <row r="35" spans="1:5" s="1" customFormat="1" ht="12.75">
      <c r="A35" s="40" t="s">
        <v>565</v>
      </c>
      <c r="B35" s="7" t="s">
        <v>186</v>
      </c>
      <c r="C35" s="74">
        <v>18000007050</v>
      </c>
      <c r="D35" s="155">
        <v>12995075.55</v>
      </c>
      <c r="E35" s="10"/>
    </row>
    <row r="36" spans="1:5" s="1" customFormat="1" ht="12.75">
      <c r="A36" s="40" t="s">
        <v>564</v>
      </c>
      <c r="B36" s="7" t="s">
        <v>186</v>
      </c>
      <c r="C36" s="74">
        <v>18000007064</v>
      </c>
      <c r="D36" s="155">
        <v>7327224.77</v>
      </c>
      <c r="E36" s="10"/>
    </row>
    <row r="37" spans="1:5" s="1" customFormat="1" ht="12.75">
      <c r="A37" s="40" t="s">
        <v>563</v>
      </c>
      <c r="B37" s="7" t="s">
        <v>186</v>
      </c>
      <c r="C37" s="74">
        <v>18000007047</v>
      </c>
      <c r="D37" s="155">
        <v>28792635.58</v>
      </c>
      <c r="E37" s="10"/>
    </row>
    <row r="38" spans="1:5" s="1" customFormat="1" ht="12.75">
      <c r="A38" s="40" t="s">
        <v>562</v>
      </c>
      <c r="B38" s="7" t="s">
        <v>186</v>
      </c>
      <c r="C38" s="74">
        <v>18000007033</v>
      </c>
      <c r="D38" s="155">
        <v>86067537.78</v>
      </c>
      <c r="E38" s="10"/>
    </row>
    <row r="39" spans="3:5" s="1" customFormat="1" ht="6" customHeight="1">
      <c r="C39" s="3"/>
      <c r="D39" s="95"/>
      <c r="E39" s="3"/>
    </row>
    <row r="40" spans="1:5" s="1" customFormat="1" ht="12.75">
      <c r="A40" s="247" t="s">
        <v>142</v>
      </c>
      <c r="C40" s="3"/>
      <c r="D40" s="157">
        <f>SUM(D10:D39)</f>
        <v>319190358.39</v>
      </c>
      <c r="E40" s="3"/>
    </row>
    <row r="41" spans="1:5" s="1" customFormat="1" ht="14.25" customHeight="1">
      <c r="A41" s="43"/>
      <c r="C41" s="3"/>
      <c r="D41" s="94"/>
      <c r="E41" s="3"/>
    </row>
    <row r="42" spans="1:5" s="1" customFormat="1" ht="12.75">
      <c r="A42" s="79" t="s">
        <v>172</v>
      </c>
      <c r="C42" s="3"/>
      <c r="D42" s="94"/>
      <c r="E42" s="3"/>
    </row>
    <row r="43" spans="1:5" s="1" customFormat="1" ht="6.75" customHeight="1">
      <c r="A43" s="43"/>
      <c r="C43" s="3"/>
      <c r="D43" s="94"/>
      <c r="E43" s="3"/>
    </row>
    <row r="44" spans="1:5" s="1" customFormat="1" ht="12.75">
      <c r="A44" s="43" t="s">
        <v>160</v>
      </c>
      <c r="B44" s="7" t="s">
        <v>186</v>
      </c>
      <c r="C44" s="75" t="s">
        <v>243</v>
      </c>
      <c r="D44" s="155">
        <v>13608354.54</v>
      </c>
      <c r="E44" s="3"/>
    </row>
    <row r="45" spans="1:5" s="1" customFormat="1" ht="12.75">
      <c r="A45" s="43" t="s">
        <v>315</v>
      </c>
      <c r="B45" s="7" t="s">
        <v>186</v>
      </c>
      <c r="C45" s="74">
        <v>66501928095</v>
      </c>
      <c r="D45" s="155">
        <v>644.76</v>
      </c>
      <c r="E45" s="3"/>
    </row>
    <row r="46" spans="1:5" s="1" customFormat="1" ht="12.75">
      <c r="A46" s="43" t="s">
        <v>420</v>
      </c>
      <c r="B46" s="7" t="s">
        <v>392</v>
      </c>
      <c r="C46" s="75" t="s">
        <v>311</v>
      </c>
      <c r="D46" s="155">
        <v>5091168.44</v>
      </c>
      <c r="E46" s="3"/>
    </row>
    <row r="47" spans="1:5" s="1" customFormat="1" ht="9" customHeight="1">
      <c r="A47" s="43"/>
      <c r="C47" s="3"/>
      <c r="D47" s="94"/>
      <c r="E47" s="3"/>
    </row>
    <row r="48" spans="1:5" s="1" customFormat="1" ht="12.75">
      <c r="A48" s="247" t="s">
        <v>161</v>
      </c>
      <c r="C48" s="3"/>
      <c r="D48" s="169">
        <f>SUM(D44:D47)</f>
        <v>18700167.74</v>
      </c>
      <c r="E48" s="3"/>
    </row>
    <row r="49" spans="1:5" s="1" customFormat="1" ht="12.75">
      <c r="A49" s="247"/>
      <c r="C49" s="3"/>
      <c r="D49" s="154"/>
      <c r="E49" s="3"/>
    </row>
    <row r="50" spans="1:5" s="1" customFormat="1" ht="12.75">
      <c r="A50" s="43"/>
      <c r="C50" s="3"/>
      <c r="E50" s="3"/>
    </row>
    <row r="51" spans="1:5" s="1" customFormat="1" ht="12.75">
      <c r="A51" s="79" t="s">
        <v>162</v>
      </c>
      <c r="C51" s="3"/>
      <c r="D51" s="22"/>
      <c r="E51" s="3"/>
    </row>
    <row r="52" spans="1:5" s="1" customFormat="1" ht="9" customHeight="1">
      <c r="A52" s="70"/>
      <c r="B52" s="2"/>
      <c r="C52" s="2"/>
      <c r="D52" s="23"/>
      <c r="E52" s="3"/>
    </row>
    <row r="53" spans="1:5" s="1" customFormat="1" ht="12.75">
      <c r="A53" s="40" t="s">
        <v>543</v>
      </c>
      <c r="B53" s="7" t="s">
        <v>186</v>
      </c>
      <c r="C53" s="74" t="s">
        <v>109</v>
      </c>
      <c r="D53" s="155">
        <v>16634.71</v>
      </c>
      <c r="E53" s="10" t="s">
        <v>242</v>
      </c>
    </row>
    <row r="54" spans="1:5" s="1" customFormat="1" ht="12.75">
      <c r="A54" s="40" t="s">
        <v>163</v>
      </c>
      <c r="B54" s="7" t="s">
        <v>186</v>
      </c>
      <c r="C54" s="74" t="s">
        <v>110</v>
      </c>
      <c r="D54" s="155">
        <v>845697.65</v>
      </c>
      <c r="E54" s="10" t="s">
        <v>332</v>
      </c>
    </row>
    <row r="55" spans="1:5" s="1" customFormat="1" ht="12.75">
      <c r="A55" s="43" t="s">
        <v>113</v>
      </c>
      <c r="B55" s="7" t="s">
        <v>186</v>
      </c>
      <c r="C55" s="74" t="s">
        <v>114</v>
      </c>
      <c r="D55" s="155">
        <v>19398987.94</v>
      </c>
      <c r="E55" s="3"/>
    </row>
    <row r="56" spans="1:5" s="1" customFormat="1" ht="12.75">
      <c r="A56" s="43" t="s">
        <v>85</v>
      </c>
      <c r="B56" s="7" t="s">
        <v>189</v>
      </c>
      <c r="C56" s="74" t="s">
        <v>112</v>
      </c>
      <c r="D56" s="155">
        <v>2067.5</v>
      </c>
      <c r="E56" s="10"/>
    </row>
    <row r="57" spans="1:5" s="1" customFormat="1" ht="12.75">
      <c r="A57" s="43" t="s">
        <v>556</v>
      </c>
      <c r="B57" s="7" t="s">
        <v>190</v>
      </c>
      <c r="C57" s="74" t="s">
        <v>115</v>
      </c>
      <c r="D57" s="155">
        <v>2423676.17</v>
      </c>
      <c r="E57" s="3"/>
    </row>
    <row r="58" spans="1:5" s="1" customFormat="1" ht="12.75">
      <c r="A58" s="43" t="s">
        <v>557</v>
      </c>
      <c r="B58" s="7" t="s">
        <v>186</v>
      </c>
      <c r="C58" s="74" t="s">
        <v>310</v>
      </c>
      <c r="D58" s="155">
        <v>9772</v>
      </c>
      <c r="E58" s="10"/>
    </row>
    <row r="59" spans="1:5" s="1" customFormat="1" ht="12.75">
      <c r="A59" s="43" t="s">
        <v>234</v>
      </c>
      <c r="B59" s="7" t="s">
        <v>186</v>
      </c>
      <c r="C59" s="74">
        <v>82500274581</v>
      </c>
      <c r="D59" s="155">
        <v>1148972.38</v>
      </c>
      <c r="E59" s="10" t="s">
        <v>428</v>
      </c>
    </row>
    <row r="60" spans="1:5" ht="12.75">
      <c r="A60" s="43" t="s">
        <v>268</v>
      </c>
      <c r="B60" s="7" t="s">
        <v>186</v>
      </c>
      <c r="C60" s="74" t="s">
        <v>269</v>
      </c>
      <c r="D60" s="155">
        <v>21198433.32</v>
      </c>
      <c r="E60" s="10" t="s">
        <v>429</v>
      </c>
    </row>
    <row r="61" spans="1:5" ht="12.75">
      <c r="A61" s="43" t="s">
        <v>267</v>
      </c>
      <c r="B61" s="7" t="s">
        <v>186</v>
      </c>
      <c r="C61" s="74" t="s">
        <v>270</v>
      </c>
      <c r="D61" s="155">
        <v>2943531.98</v>
      </c>
      <c r="E61" s="3"/>
    </row>
    <row r="62" spans="1:5" ht="12.75">
      <c r="A62" s="43" t="s">
        <v>393</v>
      </c>
      <c r="B62" s="7" t="s">
        <v>392</v>
      </c>
      <c r="C62" s="74" t="s">
        <v>311</v>
      </c>
      <c r="D62" s="155">
        <v>0</v>
      </c>
      <c r="E62" s="10"/>
    </row>
    <row r="63" spans="1:5" ht="12.75">
      <c r="A63" s="43" t="s">
        <v>323</v>
      </c>
      <c r="B63" s="7" t="s">
        <v>186</v>
      </c>
      <c r="C63" s="74" t="s">
        <v>324</v>
      </c>
      <c r="D63" s="155">
        <v>12797272.99</v>
      </c>
      <c r="E63" s="3"/>
    </row>
    <row r="64" spans="1:5" ht="12.75">
      <c r="A64" s="43" t="s">
        <v>331</v>
      </c>
      <c r="B64" s="7" t="s">
        <v>186</v>
      </c>
      <c r="C64" s="74" t="s">
        <v>327</v>
      </c>
      <c r="D64" s="155">
        <v>14150285.36</v>
      </c>
      <c r="E64" s="3"/>
    </row>
    <row r="65" spans="1:5" ht="12.75">
      <c r="A65" s="43" t="s">
        <v>379</v>
      </c>
      <c r="B65" s="7" t="s">
        <v>186</v>
      </c>
      <c r="C65" s="74" t="s">
        <v>380</v>
      </c>
      <c r="D65" s="155">
        <v>721641.51</v>
      </c>
      <c r="E65" s="3"/>
    </row>
    <row r="66" spans="1:5" ht="9" customHeight="1">
      <c r="A66" s="43"/>
      <c r="B66" s="1"/>
      <c r="C66" s="1"/>
      <c r="D66" s="94"/>
      <c r="E66" s="3"/>
    </row>
    <row r="67" spans="1:5" ht="12.75">
      <c r="A67" s="79" t="s">
        <v>164</v>
      </c>
      <c r="B67" s="1"/>
      <c r="C67" s="3"/>
      <c r="D67" s="169">
        <f>SUM(D53:D66)</f>
        <v>75656973.51</v>
      </c>
      <c r="E67" s="3"/>
    </row>
    <row r="68" spans="1:5" ht="9" customHeight="1">
      <c r="A68" s="242"/>
      <c r="B68" s="4"/>
      <c r="C68" s="74"/>
      <c r="D68" s="173"/>
      <c r="E68" s="3"/>
    </row>
    <row r="69" spans="1:5" ht="13.5" thickBot="1">
      <c r="A69" s="247" t="s">
        <v>116</v>
      </c>
      <c r="B69" s="7"/>
      <c r="C69" s="10" t="s">
        <v>117</v>
      </c>
      <c r="D69" s="249">
        <f>SUM(D40+D48+D67)</f>
        <v>413547499.64</v>
      </c>
      <c r="E69" s="3"/>
    </row>
    <row r="70" spans="1:5" ht="17.25" customHeight="1" thickTop="1">
      <c r="A70" s="247"/>
      <c r="B70" s="7"/>
      <c r="C70" s="10"/>
      <c r="D70" s="248"/>
      <c r="E70" s="3"/>
    </row>
    <row r="71" ht="12.75">
      <c r="A71" s="18"/>
    </row>
    <row r="72" ht="12.75">
      <c r="A72" s="79" t="s">
        <v>415</v>
      </c>
    </row>
    <row r="73" spans="1:4" ht="12.75">
      <c r="A73" s="199"/>
      <c r="D73" s="228"/>
    </row>
    <row r="74" spans="1:5" ht="12.75">
      <c r="A74" s="199" t="s">
        <v>418</v>
      </c>
      <c r="B74" s="43" t="s">
        <v>187</v>
      </c>
      <c r="C74" s="75" t="s">
        <v>334</v>
      </c>
      <c r="D74" s="229">
        <v>356955051.66</v>
      </c>
      <c r="E74" s="277" t="s">
        <v>485</v>
      </c>
    </row>
    <row r="75" spans="1:5" ht="12.75">
      <c r="A75" s="43" t="s">
        <v>341</v>
      </c>
      <c r="B75" s="43" t="s">
        <v>187</v>
      </c>
      <c r="C75" s="75" t="s">
        <v>334</v>
      </c>
      <c r="D75" s="230">
        <v>37538.22</v>
      </c>
      <c r="E75" s="277" t="s">
        <v>485</v>
      </c>
    </row>
    <row r="76" spans="1:4" ht="13.5" thickBot="1">
      <c r="A76" s="199"/>
      <c r="D76" s="233">
        <f>SUM(D74:D75)</f>
        <v>356992589.88000005</v>
      </c>
    </row>
    <row r="77" spans="1:4" ht="7.5" customHeight="1" thickTop="1">
      <c r="A77" s="199"/>
      <c r="D77" s="240"/>
    </row>
    <row r="78" spans="1:4" ht="12.75">
      <c r="A78" s="199" t="s">
        <v>337</v>
      </c>
      <c r="C78" s="194">
        <v>336656433.72</v>
      </c>
      <c r="D78" s="228"/>
    </row>
    <row r="79" spans="1:4" ht="12.75">
      <c r="A79" s="199" t="s">
        <v>338</v>
      </c>
      <c r="C79" s="194">
        <v>20823334.95</v>
      </c>
      <c r="D79" s="228"/>
    </row>
    <row r="80" spans="1:4" ht="12.75">
      <c r="A80" s="199" t="s">
        <v>339</v>
      </c>
      <c r="C80" s="204">
        <v>-487178.79</v>
      </c>
      <c r="D80" s="228"/>
    </row>
    <row r="81" spans="1:4" ht="13.5" thickBot="1">
      <c r="A81" s="199"/>
      <c r="B81" s="203"/>
      <c r="C81" s="201"/>
      <c r="D81" s="234">
        <f>C78+C79+C80</f>
        <v>356992589.88</v>
      </c>
    </row>
    <row r="82" ht="19.5" customHeight="1" thickTop="1">
      <c r="D82" s="228"/>
    </row>
    <row r="83" ht="12.75">
      <c r="A83" s="8" t="s">
        <v>29</v>
      </c>
    </row>
    <row r="84" ht="4.5" customHeight="1">
      <c r="A84" s="8"/>
    </row>
    <row r="85" ht="12.75">
      <c r="A85" s="18" t="s">
        <v>468</v>
      </c>
    </row>
    <row r="86" ht="12.75">
      <c r="A86" s="19" t="s">
        <v>467</v>
      </c>
    </row>
    <row r="87" ht="12.75">
      <c r="A87" s="18" t="s">
        <v>469</v>
      </c>
    </row>
    <row r="88" ht="12.75">
      <c r="A88" s="18" t="s">
        <v>470</v>
      </c>
    </row>
    <row r="89" ht="12.75">
      <c r="A89" s="55" t="s">
        <v>471</v>
      </c>
    </row>
    <row r="90" ht="12.75">
      <c r="A90" s="18" t="s">
        <v>558</v>
      </c>
    </row>
    <row r="91" ht="12.75">
      <c r="A91" s="55" t="s">
        <v>486</v>
      </c>
    </row>
    <row r="92" ht="12.75">
      <c r="A92" s="18" t="s">
        <v>559</v>
      </c>
    </row>
    <row r="93" ht="12.75">
      <c r="A93" s="18" t="s">
        <v>560</v>
      </c>
    </row>
    <row r="94" ht="12.75">
      <c r="A94" s="18" t="s">
        <v>561</v>
      </c>
    </row>
    <row r="95" ht="12.75">
      <c r="A95" s="18" t="s">
        <v>483</v>
      </c>
    </row>
    <row r="96" ht="12.75">
      <c r="A96" s="18" t="s">
        <v>484</v>
      </c>
    </row>
    <row r="98" ht="12.75">
      <c r="A98" s="18"/>
    </row>
  </sheetData>
  <sheetProtection/>
  <mergeCells count="3">
    <mergeCell ref="A2:D2"/>
    <mergeCell ref="A3:D3"/>
    <mergeCell ref="A4:D4"/>
  </mergeCells>
  <printOptions/>
  <pageMargins left="0.7874015748031497" right="0.7874015748031497" top="0.7874015748031497" bottom="0.984251968503937" header="0" footer="0.3937007874015748"/>
  <pageSetup fitToHeight="2" horizontalDpi="600" verticalDpi="600" orientation="portrait" scale="99" r:id="rId1"/>
  <headerFooter alignWithMargins="0">
    <oddFooter>&amp;R&amp;P de &amp;N</oddFooter>
  </headerFooter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L30" sqref="L30"/>
    </sheetView>
  </sheetViews>
  <sheetFormatPr defaultColWidth="11.421875" defaultRowHeight="12.75"/>
  <cols>
    <col min="1" max="1" width="38.421875" style="1" customWidth="1"/>
    <col min="2" max="5" width="15.00390625" style="1" customWidth="1"/>
    <col min="6" max="6" width="6.57421875" style="1" customWidth="1"/>
    <col min="7" max="7" width="2.8515625" style="1" customWidth="1"/>
    <col min="8" max="8" width="4.7109375" style="1" customWidth="1"/>
    <col min="9" max="9" width="11.7109375" style="1" bestFit="1" customWidth="1"/>
    <col min="10" max="16384" width="11.421875" style="1" customWidth="1"/>
  </cols>
  <sheetData>
    <row r="1" spans="1:6" ht="12.75" customHeight="1">
      <c r="A1" s="214"/>
      <c r="B1" s="214"/>
      <c r="C1" s="214"/>
      <c r="D1" s="214"/>
      <c r="E1" s="289" t="s">
        <v>3</v>
      </c>
      <c r="F1" s="289"/>
    </row>
    <row r="2" spans="1:6" ht="13.5" customHeight="1">
      <c r="A2" s="288" t="s">
        <v>283</v>
      </c>
      <c r="B2" s="288"/>
      <c r="C2" s="288"/>
      <c r="D2" s="288"/>
      <c r="E2" s="288"/>
      <c r="F2" s="288"/>
    </row>
    <row r="3" spans="1:6" ht="13.5" customHeight="1">
      <c r="A3" s="290" t="s">
        <v>406</v>
      </c>
      <c r="B3" s="290"/>
      <c r="C3" s="290"/>
      <c r="D3" s="290"/>
      <c r="E3" s="290"/>
      <c r="F3" s="290"/>
    </row>
    <row r="4" spans="1:6" ht="13.5" customHeight="1">
      <c r="A4" s="288" t="s">
        <v>284</v>
      </c>
      <c r="B4" s="288"/>
      <c r="C4" s="288"/>
      <c r="D4" s="288"/>
      <c r="E4" s="288"/>
      <c r="F4" s="288"/>
    </row>
    <row r="5" spans="1:6" ht="13.5" customHeight="1">
      <c r="A5" s="287" t="s">
        <v>476</v>
      </c>
      <c r="B5" s="288"/>
      <c r="C5" s="288"/>
      <c r="D5" s="288"/>
      <c r="E5" s="288"/>
      <c r="F5" s="288"/>
    </row>
    <row r="6" spans="1:6" ht="18.75" customHeight="1">
      <c r="A6" s="16"/>
      <c r="B6" s="16"/>
      <c r="C6" s="16"/>
      <c r="D6" s="16"/>
      <c r="E6" s="16"/>
      <c r="F6" s="16"/>
    </row>
    <row r="7" spans="1:6" ht="26.25" customHeight="1">
      <c r="A7" s="218" t="s">
        <v>409</v>
      </c>
      <c r="B7" s="219" t="s">
        <v>473</v>
      </c>
      <c r="C7" s="219" t="s">
        <v>474</v>
      </c>
      <c r="D7" s="219" t="s">
        <v>475</v>
      </c>
      <c r="E7" s="218" t="s">
        <v>20</v>
      </c>
      <c r="F7" s="220" t="s">
        <v>21</v>
      </c>
    </row>
    <row r="8" spans="1:6" ht="15.75" customHeight="1">
      <c r="A8" s="70"/>
      <c r="B8" s="70"/>
      <c r="C8" s="70"/>
      <c r="D8" s="188"/>
      <c r="E8" s="70"/>
      <c r="F8" s="2"/>
    </row>
    <row r="9" spans="1:6" ht="15.75" customHeight="1">
      <c r="A9" s="239" t="s">
        <v>464</v>
      </c>
      <c r="B9" s="70"/>
      <c r="C9" s="70"/>
      <c r="D9" s="188"/>
      <c r="E9" s="70"/>
      <c r="F9" s="2"/>
    </row>
    <row r="10" spans="1:6" ht="7.5" customHeight="1">
      <c r="A10" s="70"/>
      <c r="B10" s="70"/>
      <c r="C10" s="70"/>
      <c r="D10" s="188"/>
      <c r="E10" s="70"/>
      <c r="F10" s="2"/>
    </row>
    <row r="11" spans="1:8" ht="12.75">
      <c r="A11" s="1" t="s">
        <v>22</v>
      </c>
      <c r="B11" s="124">
        <v>141309733</v>
      </c>
      <c r="C11" s="123">
        <v>138733000</v>
      </c>
      <c r="D11" s="124">
        <v>141646888</v>
      </c>
      <c r="E11" s="123">
        <f>SUM(B11:D11)</f>
        <v>421689621</v>
      </c>
      <c r="F11" s="125">
        <f>E11/E23*100</f>
        <v>48.562646073541046</v>
      </c>
      <c r="G11" s="9"/>
      <c r="H11" s="9"/>
    </row>
    <row r="12" spans="1:8" ht="12.75">
      <c r="A12" s="1" t="s">
        <v>303</v>
      </c>
      <c r="B12" s="124">
        <v>666774.51</v>
      </c>
      <c r="C12" s="123"/>
      <c r="D12" s="124">
        <v>401742.47</v>
      </c>
      <c r="E12" s="123">
        <f>SUM(B12:D12)</f>
        <v>1068516.98</v>
      </c>
      <c r="F12" s="125">
        <f>E12/E23*100</f>
        <v>0.12305261817982696</v>
      </c>
      <c r="G12" s="9"/>
      <c r="H12" s="9"/>
    </row>
    <row r="13" spans="1:8" ht="12.75">
      <c r="A13" s="1" t="s">
        <v>319</v>
      </c>
      <c r="B13" s="123">
        <v>34030000</v>
      </c>
      <c r="C13" s="123">
        <v>135966959</v>
      </c>
      <c r="D13" s="124">
        <v>40586427</v>
      </c>
      <c r="E13" s="123">
        <f>SUM(B13:D13)</f>
        <v>210583386</v>
      </c>
      <c r="F13" s="125">
        <f>E13/E23*100</f>
        <v>24.251216852420182</v>
      </c>
      <c r="G13" s="9"/>
      <c r="H13" s="9"/>
    </row>
    <row r="14" spans="2:8" ht="6.75" customHeight="1">
      <c r="B14" s="126"/>
      <c r="C14" s="126"/>
      <c r="D14" s="127"/>
      <c r="E14" s="126"/>
      <c r="F14" s="128"/>
      <c r="H14" s="14"/>
    </row>
    <row r="15" spans="1:8" ht="12.75">
      <c r="A15" s="85" t="s">
        <v>25</v>
      </c>
      <c r="B15" s="127">
        <f>SUM(B11:B14)</f>
        <v>176006507.51</v>
      </c>
      <c r="C15" s="127">
        <f>SUM(C11:C14)</f>
        <v>274699959</v>
      </c>
      <c r="D15" s="127">
        <f>SUM(D11:D14)</f>
        <v>182635057.47</v>
      </c>
      <c r="E15" s="127">
        <f>SUM(E11:E14)</f>
        <v>633341523.98</v>
      </c>
      <c r="F15" s="127">
        <f>SUM(F11:F14)</f>
        <v>72.93691554414106</v>
      </c>
      <c r="H15" s="14"/>
    </row>
    <row r="16" spans="2:8" ht="15" customHeight="1">
      <c r="B16" s="124"/>
      <c r="C16" s="124"/>
      <c r="D16" s="124"/>
      <c r="E16" s="129"/>
      <c r="F16" s="130"/>
      <c r="H16" s="14"/>
    </row>
    <row r="17" spans="1:8" ht="14.25" customHeight="1">
      <c r="A17" s="239" t="s">
        <v>465</v>
      </c>
      <c r="B17" s="124"/>
      <c r="C17" s="124"/>
      <c r="D17" s="124"/>
      <c r="E17" s="129"/>
      <c r="F17" s="130"/>
      <c r="H17" s="14"/>
    </row>
    <row r="18" spans="2:8" ht="6" customHeight="1">
      <c r="B18" s="124"/>
      <c r="C18" s="124"/>
      <c r="D18" s="124"/>
      <c r="E18" s="129"/>
      <c r="F18" s="130"/>
      <c r="H18" s="14"/>
    </row>
    <row r="19" spans="1:8" ht="12.75">
      <c r="A19" s="6" t="s">
        <v>26</v>
      </c>
      <c r="B19" s="124">
        <v>75000000</v>
      </c>
      <c r="C19" s="124">
        <v>85000000</v>
      </c>
      <c r="D19" s="124">
        <v>75000000</v>
      </c>
      <c r="E19" s="129">
        <f>SUM(B19:D19)</f>
        <v>235000000</v>
      </c>
      <c r="F19" s="130">
        <f>E19/E23*100</f>
        <v>27.063084455858938</v>
      </c>
      <c r="G19" s="9"/>
      <c r="H19" s="9"/>
    </row>
    <row r="20" spans="1:7" ht="6.75" customHeight="1">
      <c r="A20" s="6"/>
      <c r="B20" s="127"/>
      <c r="C20" s="127"/>
      <c r="D20" s="127"/>
      <c r="E20" s="126"/>
      <c r="F20" s="128"/>
      <c r="G20" s="9"/>
    </row>
    <row r="21" spans="1:7" ht="13.5" customHeight="1">
      <c r="A21" s="85" t="s">
        <v>28</v>
      </c>
      <c r="B21" s="124">
        <f>SUM(B19:B20)</f>
        <v>75000000</v>
      </c>
      <c r="C21" s="124">
        <f>SUM(C19:C20)</f>
        <v>85000000</v>
      </c>
      <c r="D21" s="124">
        <f>SUM(D19:D20)</f>
        <v>75000000</v>
      </c>
      <c r="E21" s="124">
        <f>SUM(E19:E20)</f>
        <v>235000000</v>
      </c>
      <c r="F21" s="124">
        <f>SUM(F19:F20)</f>
        <v>27.063084455858938</v>
      </c>
      <c r="G21" s="14"/>
    </row>
    <row r="22" spans="1:6" ht="10.5" customHeight="1">
      <c r="A22" s="6"/>
      <c r="B22" s="124"/>
      <c r="C22" s="124"/>
      <c r="D22" s="124"/>
      <c r="E22" s="129"/>
      <c r="F22" s="130"/>
    </row>
    <row r="23" spans="1:6" ht="13.5" thickBot="1">
      <c r="A23" s="85" t="s">
        <v>166</v>
      </c>
      <c r="B23" s="131">
        <f>B15+B21</f>
        <v>251006507.51</v>
      </c>
      <c r="C23" s="131">
        <f>C15+C21</f>
        <v>359699959</v>
      </c>
      <c r="D23" s="131">
        <f>D15+D21</f>
        <v>257635057.47</v>
      </c>
      <c r="E23" s="131">
        <f>E15+E21</f>
        <v>868341523.98</v>
      </c>
      <c r="F23" s="132">
        <f>F15+F21</f>
        <v>100</v>
      </c>
    </row>
    <row r="24" spans="1:6" ht="6.75" customHeight="1" thickTop="1">
      <c r="A24" s="4"/>
      <c r="B24" s="133"/>
      <c r="C24" s="133"/>
      <c r="D24" s="133"/>
      <c r="E24" s="133"/>
      <c r="F24" s="133"/>
    </row>
  </sheetData>
  <sheetProtection/>
  <mergeCells count="5">
    <mergeCell ref="A5:F5"/>
    <mergeCell ref="E1:F1"/>
    <mergeCell ref="A2:F2"/>
    <mergeCell ref="A3:F3"/>
    <mergeCell ref="A4:F4"/>
  </mergeCells>
  <printOptions/>
  <pageMargins left="0.8661417322834646" right="0.4724409448818898" top="0.7874015748031497" bottom="0.5905511811023623" header="0" footer="0"/>
  <pageSetup fitToHeight="1" fitToWidth="1" horizontalDpi="600" verticalDpi="600"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PageLayoutView="0" workbookViewId="0" topLeftCell="A1">
      <selection activeCell="L46" sqref="L46"/>
    </sheetView>
  </sheetViews>
  <sheetFormatPr defaultColWidth="11.421875" defaultRowHeight="12.75"/>
  <cols>
    <col min="1" max="1" width="48.28125" style="1" customWidth="1"/>
    <col min="2" max="2" width="13.8515625" style="1" customWidth="1"/>
    <col min="3" max="5" width="13.7109375" style="1" customWidth="1"/>
    <col min="6" max="6" width="6.57421875" style="1" bestFit="1" customWidth="1"/>
    <col min="7" max="7" width="3.00390625" style="1" customWidth="1"/>
    <col min="8" max="8" width="11.7109375" style="1" bestFit="1" customWidth="1"/>
    <col min="9" max="16384" width="11.421875" style="1" customWidth="1"/>
  </cols>
  <sheetData>
    <row r="1" spans="1:6" ht="12.75" customHeight="1">
      <c r="A1" s="214"/>
      <c r="B1" s="214"/>
      <c r="C1" s="214"/>
      <c r="D1" s="214"/>
      <c r="E1" s="291" t="s">
        <v>30</v>
      </c>
      <c r="F1" s="291"/>
    </row>
    <row r="2" spans="1:6" ht="13.5" customHeight="1">
      <c r="A2" s="287" t="s">
        <v>283</v>
      </c>
      <c r="B2" s="287"/>
      <c r="C2" s="287"/>
      <c r="D2" s="287"/>
      <c r="E2" s="287"/>
      <c r="F2" s="287"/>
    </row>
    <row r="3" spans="1:6" ht="13.5" customHeight="1">
      <c r="A3" s="292" t="s">
        <v>406</v>
      </c>
      <c r="B3" s="292"/>
      <c r="C3" s="292"/>
      <c r="D3" s="292"/>
      <c r="E3" s="292"/>
      <c r="F3" s="292"/>
    </row>
    <row r="4" spans="1:6" ht="13.5" customHeight="1">
      <c r="A4" s="287" t="s">
        <v>452</v>
      </c>
      <c r="B4" s="287"/>
      <c r="C4" s="287"/>
      <c r="D4" s="287"/>
      <c r="E4" s="287"/>
      <c r="F4" s="287"/>
    </row>
    <row r="5" spans="1:6" ht="13.5" customHeight="1">
      <c r="A5" s="287" t="s">
        <v>476</v>
      </c>
      <c r="B5" s="288"/>
      <c r="C5" s="288"/>
      <c r="D5" s="288"/>
      <c r="E5" s="288"/>
      <c r="F5" s="288"/>
    </row>
    <row r="6" spans="1:6" ht="18.75" customHeight="1">
      <c r="A6" s="16"/>
      <c r="B6" s="16"/>
      <c r="C6" s="16"/>
      <c r="D6" s="16"/>
      <c r="E6" s="16"/>
      <c r="F6" s="16"/>
    </row>
    <row r="7" spans="1:6" ht="26.25" customHeight="1">
      <c r="A7" s="218" t="s">
        <v>409</v>
      </c>
      <c r="B7" s="219" t="s">
        <v>473</v>
      </c>
      <c r="C7" s="219" t="s">
        <v>474</v>
      </c>
      <c r="D7" s="219" t="s">
        <v>475</v>
      </c>
      <c r="E7" s="218" t="s">
        <v>20</v>
      </c>
      <c r="F7" s="220" t="s">
        <v>21</v>
      </c>
    </row>
    <row r="8" spans="1:6" ht="15.75" customHeight="1">
      <c r="A8" s="70"/>
      <c r="B8" s="70"/>
      <c r="C8" s="70"/>
      <c r="D8" s="188"/>
      <c r="E8" s="70"/>
      <c r="F8" s="2"/>
    </row>
    <row r="9" spans="1:7" ht="12.75">
      <c r="A9" s="8" t="s">
        <v>22</v>
      </c>
      <c r="B9" s="124"/>
      <c r="C9" s="123"/>
      <c r="D9" s="124"/>
      <c r="E9" s="123"/>
      <c r="F9" s="125"/>
      <c r="G9" s="9"/>
    </row>
    <row r="10" spans="2:7" ht="8.25" customHeight="1">
      <c r="B10" s="124"/>
      <c r="C10" s="123"/>
      <c r="D10" s="124"/>
      <c r="E10" s="123"/>
      <c r="F10" s="125"/>
      <c r="G10" s="9"/>
    </row>
    <row r="11" spans="1:7" ht="12.75">
      <c r="A11" s="272" t="s">
        <v>458</v>
      </c>
      <c r="B11" s="124">
        <v>125212000</v>
      </c>
      <c r="C11" s="123">
        <f>79269000</f>
        <v>79269000</v>
      </c>
      <c r="D11" s="124">
        <v>125212000</v>
      </c>
      <c r="E11" s="123">
        <f>SUM(B11:D11)</f>
        <v>329693000</v>
      </c>
      <c r="F11" s="125">
        <f>E11/$E$53*100</f>
        <v>37.96812554683192</v>
      </c>
      <c r="G11" s="9"/>
    </row>
    <row r="12" spans="1:7" ht="12.75">
      <c r="A12" s="272" t="s">
        <v>459</v>
      </c>
      <c r="B12" s="124">
        <v>13157000</v>
      </c>
      <c r="C12" s="123">
        <f>13157000+46307000</f>
        <v>59464000</v>
      </c>
      <c r="D12" s="124">
        <v>13157000</v>
      </c>
      <c r="E12" s="123">
        <f>SUM(B12:D12)</f>
        <v>85778000</v>
      </c>
      <c r="F12" s="125">
        <f>E12/$E$53*100</f>
        <v>9.878371312573057</v>
      </c>
      <c r="G12" s="9"/>
    </row>
    <row r="13" spans="1:7" ht="12.75">
      <c r="A13" s="272" t="s">
        <v>482</v>
      </c>
      <c r="B13" s="124">
        <v>2940733</v>
      </c>
      <c r="C13" s="123"/>
      <c r="D13" s="124"/>
      <c r="E13" s="123">
        <f>SUM(B13:D13)</f>
        <v>2940733</v>
      </c>
      <c r="F13" s="125">
        <f>E13/$E$53*100</f>
        <v>0.33866087464311245</v>
      </c>
      <c r="G13" s="9"/>
    </row>
    <row r="14" spans="1:7" ht="12.75">
      <c r="A14" s="43" t="s">
        <v>506</v>
      </c>
      <c r="B14" s="124"/>
      <c r="C14" s="123"/>
      <c r="D14" s="124">
        <f>1663382+1614506</f>
        <v>3277888</v>
      </c>
      <c r="E14" s="123">
        <f>SUM(B14:D14)</f>
        <v>3277888</v>
      </c>
      <c r="F14" s="125">
        <f>E14/$E$53*100</f>
        <v>0.377488339492964</v>
      </c>
      <c r="G14" s="9"/>
    </row>
    <row r="15" spans="2:7" ht="7.5" customHeight="1">
      <c r="B15" s="124"/>
      <c r="C15" s="123"/>
      <c r="D15" s="124"/>
      <c r="E15" s="123"/>
      <c r="F15" s="125"/>
      <c r="G15" s="9"/>
    </row>
    <row r="16" spans="1:7" ht="12.75">
      <c r="A16" s="85" t="s">
        <v>456</v>
      </c>
      <c r="B16" s="136">
        <f>SUM(B11:B15)</f>
        <v>141309733</v>
      </c>
      <c r="C16" s="136">
        <f>SUM(C11:C15)</f>
        <v>138733000</v>
      </c>
      <c r="D16" s="136">
        <f>SUM(D11:D15)</f>
        <v>141646888</v>
      </c>
      <c r="E16" s="136">
        <f>SUM(E11:E15)</f>
        <v>421689621</v>
      </c>
      <c r="F16" s="136">
        <f>SUM(F11:F15)</f>
        <v>48.56264607354105</v>
      </c>
      <c r="G16" s="9"/>
    </row>
    <row r="17" spans="2:7" ht="18" customHeight="1">
      <c r="B17" s="124"/>
      <c r="C17" s="123"/>
      <c r="D17" s="124"/>
      <c r="E17" s="123"/>
      <c r="F17" s="125"/>
      <c r="G17" s="9"/>
    </row>
    <row r="18" spans="1:7" ht="12.75">
      <c r="A18" s="8" t="s">
        <v>303</v>
      </c>
      <c r="B18" s="124"/>
      <c r="C18" s="123"/>
      <c r="D18" s="124"/>
      <c r="E18" s="123"/>
      <c r="F18" s="125"/>
      <c r="G18" s="9"/>
    </row>
    <row r="19" spans="1:7" ht="7.5" customHeight="1">
      <c r="A19" s="8"/>
      <c r="B19" s="124"/>
      <c r="C19" s="123"/>
      <c r="D19" s="124"/>
      <c r="E19" s="123"/>
      <c r="F19" s="125"/>
      <c r="G19" s="9"/>
    </row>
    <row r="20" spans="1:7" ht="12.75">
      <c r="A20" s="272" t="s">
        <v>460</v>
      </c>
      <c r="B20" s="124">
        <f>155909.76+510864.75</f>
        <v>666774.51</v>
      </c>
      <c r="C20" s="123"/>
      <c r="D20" s="124">
        <v>401742.47</v>
      </c>
      <c r="E20" s="123">
        <f>SUM(B20:D20)</f>
        <v>1068516.98</v>
      </c>
      <c r="F20" s="125">
        <f>E20/$E$53*100</f>
        <v>0.12305261817982696</v>
      </c>
      <c r="G20" s="9"/>
    </row>
    <row r="21" spans="2:7" ht="8.25" customHeight="1">
      <c r="B21" s="124"/>
      <c r="C21" s="123"/>
      <c r="D21" s="124"/>
      <c r="E21" s="123"/>
      <c r="F21" s="125"/>
      <c r="G21" s="9"/>
    </row>
    <row r="22" spans="1:7" ht="12.75">
      <c r="A22" s="85" t="s">
        <v>457</v>
      </c>
      <c r="B22" s="136">
        <f>+B20</f>
        <v>666774.51</v>
      </c>
      <c r="C22" s="136">
        <f>+C20</f>
        <v>0</v>
      </c>
      <c r="D22" s="136">
        <f>+D20</f>
        <v>401742.47</v>
      </c>
      <c r="E22" s="136">
        <f>+E20</f>
        <v>1068516.98</v>
      </c>
      <c r="F22" s="136">
        <f>+F20</f>
        <v>0.12305261817982696</v>
      </c>
      <c r="G22" s="9"/>
    </row>
    <row r="23" spans="2:7" ht="16.5" customHeight="1">
      <c r="B23" s="124"/>
      <c r="C23" s="123"/>
      <c r="D23" s="124"/>
      <c r="E23" s="123"/>
      <c r="F23" s="125"/>
      <c r="G23" s="9"/>
    </row>
    <row r="24" spans="1:7" ht="12.75">
      <c r="A24" s="8" t="s">
        <v>319</v>
      </c>
      <c r="B24" s="123"/>
      <c r="C24" s="123"/>
      <c r="D24" s="124"/>
      <c r="E24" s="123"/>
      <c r="F24" s="125"/>
      <c r="G24" s="9"/>
    </row>
    <row r="25" spans="2:7" ht="6.75" customHeight="1">
      <c r="B25" s="124"/>
      <c r="C25" s="123"/>
      <c r="D25" s="124"/>
      <c r="E25" s="123"/>
      <c r="F25" s="125"/>
      <c r="G25" s="9"/>
    </row>
    <row r="26" spans="1:7" ht="12.75">
      <c r="A26" s="273" t="s">
        <v>453</v>
      </c>
      <c r="B26" s="123"/>
      <c r="C26" s="123"/>
      <c r="D26" s="124"/>
      <c r="E26" s="123"/>
      <c r="F26" s="125"/>
      <c r="G26" s="9"/>
    </row>
    <row r="27" spans="1:7" ht="12.75">
      <c r="A27" s="273" t="s">
        <v>454</v>
      </c>
      <c r="B27" s="124"/>
      <c r="C27" s="123"/>
      <c r="D27" s="124"/>
      <c r="E27" s="123"/>
      <c r="F27" s="125"/>
      <c r="G27" s="9"/>
    </row>
    <row r="28" spans="1:7" ht="12.75">
      <c r="A28" s="273" t="s">
        <v>455</v>
      </c>
      <c r="B28" s="124">
        <f>19324000+14706000</f>
        <v>34030000</v>
      </c>
      <c r="C28" s="123">
        <v>12278000</v>
      </c>
      <c r="D28" s="124"/>
      <c r="E28" s="123">
        <f>SUM(B28:D28)</f>
        <v>46308000</v>
      </c>
      <c r="F28" s="125">
        <f>E28/$E$53*100</f>
        <v>5.332924744603897</v>
      </c>
      <c r="G28" s="9"/>
    </row>
    <row r="29" spans="1:7" ht="12.75">
      <c r="A29" s="273" t="s">
        <v>493</v>
      </c>
      <c r="B29" s="124"/>
      <c r="C29" s="123">
        <v>4882000</v>
      </c>
      <c r="D29" s="124">
        <v>2442927</v>
      </c>
      <c r="E29" s="123">
        <f>SUM(B29:D29)</f>
        <v>7324927</v>
      </c>
      <c r="F29" s="125">
        <f>E29/$E$53*100</f>
        <v>0.8435536937617083</v>
      </c>
      <c r="G29" s="9"/>
    </row>
    <row r="30" spans="1:7" ht="12.75">
      <c r="A30" s="273" t="s">
        <v>544</v>
      </c>
      <c r="G30" s="9"/>
    </row>
    <row r="31" spans="1:7" ht="12.75">
      <c r="A31" s="273" t="s">
        <v>516</v>
      </c>
      <c r="C31" s="123">
        <f>25450000+51586000</f>
        <v>77036000</v>
      </c>
      <c r="D31" s="124">
        <v>9000000</v>
      </c>
      <c r="E31" s="123">
        <f>SUM(B31:D31)</f>
        <v>86036000</v>
      </c>
      <c r="F31" s="125">
        <f>E31/$E$53*100</f>
        <v>9.908083124443744</v>
      </c>
      <c r="G31" s="9"/>
    </row>
    <row r="32" spans="1:7" ht="12.75">
      <c r="A32" s="273" t="s">
        <v>515</v>
      </c>
      <c r="B32" s="124"/>
      <c r="C32" s="123"/>
      <c r="D32" s="124"/>
      <c r="E32" s="123"/>
      <c r="F32" s="125"/>
      <c r="G32" s="9"/>
    </row>
    <row r="33" spans="1:7" ht="12.75">
      <c r="A33" s="273" t="s">
        <v>514</v>
      </c>
      <c r="B33" s="124"/>
      <c r="C33" s="123">
        <f>6495000+6495638</f>
        <v>12990638</v>
      </c>
      <c r="D33" s="124"/>
      <c r="E33" s="123">
        <f>SUM(B33:D33)</f>
        <v>12990638</v>
      </c>
      <c r="F33" s="125">
        <f>E33/$E$53*100</f>
        <v>1.4960286524659168</v>
      </c>
      <c r="G33" s="9"/>
    </row>
    <row r="34" spans="1:7" ht="12.75">
      <c r="A34" s="273" t="s">
        <v>519</v>
      </c>
      <c r="G34" s="9"/>
    </row>
    <row r="35" spans="1:7" ht="12.75">
      <c r="A35" s="273" t="s">
        <v>516</v>
      </c>
      <c r="B35" s="124"/>
      <c r="C35" s="123">
        <f>14390000+14390321</f>
        <v>28780321</v>
      </c>
      <c r="D35" s="124"/>
      <c r="E35" s="123">
        <f>SUM(B35:D35)</f>
        <v>28780321</v>
      </c>
      <c r="F35" s="125">
        <f>E35/$E$53*100</f>
        <v>3.314401097403109</v>
      </c>
      <c r="G35" s="9"/>
    </row>
    <row r="36" spans="1:7" ht="12.75">
      <c r="A36" s="40" t="s">
        <v>521</v>
      </c>
      <c r="B36" s="124"/>
      <c r="C36" s="123"/>
      <c r="D36" s="124">
        <f>12234310+11900736</f>
        <v>24135046</v>
      </c>
      <c r="E36" s="123">
        <f>SUM(B36:D36)</f>
        <v>24135046</v>
      </c>
      <c r="F36" s="125">
        <f>E36/$E$53*100</f>
        <v>2.7794416521023</v>
      </c>
      <c r="G36" s="9"/>
    </row>
    <row r="37" spans="1:7" ht="12.75">
      <c r="A37" s="40" t="s">
        <v>520</v>
      </c>
      <c r="B37" s="124"/>
      <c r="C37" s="123"/>
      <c r="D37" s="124"/>
      <c r="E37" s="123"/>
      <c r="F37" s="125"/>
      <c r="G37" s="9"/>
    </row>
    <row r="38" spans="1:7" ht="12.75">
      <c r="A38" s="40" t="s">
        <v>517</v>
      </c>
      <c r="B38" s="124"/>
      <c r="C38" s="123"/>
      <c r="D38" s="124"/>
      <c r="E38" s="123"/>
      <c r="F38" s="125"/>
      <c r="G38" s="9"/>
    </row>
    <row r="39" spans="1:7" ht="12.75">
      <c r="A39" s="40" t="s">
        <v>518</v>
      </c>
      <c r="B39" s="124"/>
      <c r="C39" s="123"/>
      <c r="D39" s="124">
        <v>5008454</v>
      </c>
      <c r="E39" s="123">
        <f>SUM(B39:D39)</f>
        <v>5008454</v>
      </c>
      <c r="F39" s="125">
        <f>E39/$E$53*100</f>
        <v>0.5767838876395086</v>
      </c>
      <c r="G39" s="9"/>
    </row>
    <row r="40" spans="2:7" ht="7.5" customHeight="1">
      <c r="B40" s="124"/>
      <c r="C40" s="123"/>
      <c r="D40" s="124"/>
      <c r="E40" s="123"/>
      <c r="F40" s="125"/>
      <c r="G40" s="9"/>
    </row>
    <row r="41" spans="1:7" ht="12.75">
      <c r="A41" s="85" t="s">
        <v>526</v>
      </c>
      <c r="B41" s="274">
        <f>SUM(B25:B40)</f>
        <v>34030000</v>
      </c>
      <c r="C41" s="274">
        <f>SUM(C25:C40)</f>
        <v>135966959</v>
      </c>
      <c r="D41" s="274">
        <f>SUM(D25:D40)</f>
        <v>40586427</v>
      </c>
      <c r="E41" s="274">
        <f>SUM(E25:E40)</f>
        <v>210583386</v>
      </c>
      <c r="F41" s="274">
        <f>SUM(F25:F40)</f>
        <v>24.251216852420182</v>
      </c>
      <c r="G41" s="9"/>
    </row>
    <row r="42" spans="2:7" ht="9.75" customHeight="1">
      <c r="B42" s="123"/>
      <c r="C42" s="123"/>
      <c r="D42" s="124"/>
      <c r="E42" s="123"/>
      <c r="F42" s="275"/>
      <c r="G42" s="14"/>
    </row>
    <row r="43" spans="1:7" ht="12.75">
      <c r="A43" s="85" t="s">
        <v>25</v>
      </c>
      <c r="B43" s="136">
        <f>+B16+B22+B41</f>
        <v>176006507.51</v>
      </c>
      <c r="C43" s="136">
        <f>+C16+C22+C41</f>
        <v>274699959</v>
      </c>
      <c r="D43" s="136">
        <f>+D16+D22+D41</f>
        <v>182635057.47</v>
      </c>
      <c r="E43" s="136">
        <f>+E16+E22+E41</f>
        <v>633341523.98</v>
      </c>
      <c r="F43" s="136">
        <f>+F16+F22+F41</f>
        <v>72.93691554414106</v>
      </c>
      <c r="G43" s="14"/>
    </row>
    <row r="44" spans="2:7" ht="18.75" customHeight="1">
      <c r="B44" s="124"/>
      <c r="C44" s="124"/>
      <c r="D44" s="124"/>
      <c r="E44" s="129"/>
      <c r="F44" s="130"/>
      <c r="G44" s="14"/>
    </row>
    <row r="45" spans="1:7" ht="12.75">
      <c r="A45" s="8" t="s">
        <v>26</v>
      </c>
      <c r="B45" s="124"/>
      <c r="C45" s="123"/>
      <c r="D45" s="124"/>
      <c r="E45" s="123"/>
      <c r="F45" s="125"/>
      <c r="G45" s="9"/>
    </row>
    <row r="46" spans="2:7" ht="7.5" customHeight="1">
      <c r="B46" s="124"/>
      <c r="C46" s="123"/>
      <c r="D46" s="124"/>
      <c r="E46" s="123"/>
      <c r="F46" s="125"/>
      <c r="G46" s="9"/>
    </row>
    <row r="47" spans="1:7" ht="12.75">
      <c r="A47" s="272" t="s">
        <v>461</v>
      </c>
      <c r="B47" s="124">
        <v>40000000</v>
      </c>
      <c r="C47" s="123">
        <v>40000000</v>
      </c>
      <c r="D47" s="124">
        <v>40000000</v>
      </c>
      <c r="E47" s="123">
        <f>SUM(B47:D47)</f>
        <v>120000000</v>
      </c>
      <c r="F47" s="125">
        <f>E47/$E$53*100</f>
        <v>13.819447381715202</v>
      </c>
      <c r="G47" s="9"/>
    </row>
    <row r="48" spans="1:7" ht="12.75">
      <c r="A48" s="272" t="s">
        <v>462</v>
      </c>
      <c r="B48" s="124">
        <v>25000000</v>
      </c>
      <c r="C48" s="123">
        <v>25000000</v>
      </c>
      <c r="D48" s="124">
        <v>25000000</v>
      </c>
      <c r="E48" s="123">
        <f>SUM(B48:D48)</f>
        <v>75000000</v>
      </c>
      <c r="F48" s="125">
        <f>E48/$E$53*100</f>
        <v>8.637154613572001</v>
      </c>
      <c r="G48" s="9"/>
    </row>
    <row r="49" spans="1:7" ht="12.75">
      <c r="A49" s="272" t="s">
        <v>463</v>
      </c>
      <c r="B49" s="124">
        <f>10000000</f>
        <v>10000000</v>
      </c>
      <c r="C49" s="123">
        <f>10000000+10000000</f>
        <v>20000000</v>
      </c>
      <c r="D49" s="124">
        <v>10000000</v>
      </c>
      <c r="E49" s="123">
        <f>SUM(B49:D49)</f>
        <v>40000000</v>
      </c>
      <c r="F49" s="125">
        <f>E49/$E$53*100</f>
        <v>4.606482460571734</v>
      </c>
      <c r="G49" s="9"/>
    </row>
    <row r="50" spans="2:7" ht="7.5" customHeight="1">
      <c r="B50" s="124"/>
      <c r="C50" s="123"/>
      <c r="D50" s="124"/>
      <c r="E50" s="123"/>
      <c r="F50" s="125"/>
      <c r="G50" s="9"/>
    </row>
    <row r="51" spans="1:7" ht="12.75">
      <c r="A51" s="85" t="s">
        <v>28</v>
      </c>
      <c r="B51" s="136">
        <f>SUM(B47:B50)</f>
        <v>75000000</v>
      </c>
      <c r="C51" s="136">
        <f>SUM(C47:C50)</f>
        <v>85000000</v>
      </c>
      <c r="D51" s="136">
        <f>SUM(D47:D50)</f>
        <v>75000000</v>
      </c>
      <c r="E51" s="136">
        <f>SUM(E47:E50)</f>
        <v>235000000</v>
      </c>
      <c r="F51" s="136">
        <f>E51/$E$53*100</f>
        <v>27.063084455858938</v>
      </c>
      <c r="G51" s="9"/>
    </row>
    <row r="52" spans="2:7" ht="14.25" customHeight="1">
      <c r="B52" s="124"/>
      <c r="C52" s="124"/>
      <c r="D52" s="124"/>
      <c r="E52" s="129"/>
      <c r="F52" s="130"/>
      <c r="G52" s="14"/>
    </row>
    <row r="53" spans="1:6" ht="13.5" thickBot="1">
      <c r="A53" s="85" t="s">
        <v>166</v>
      </c>
      <c r="B53" s="276">
        <f>SUM(B43+B51)</f>
        <v>251006507.51</v>
      </c>
      <c r="C53" s="276">
        <f>SUM(C43+C51)</f>
        <v>359699959</v>
      </c>
      <c r="D53" s="276">
        <f>SUM(D43+D51)</f>
        <v>257635057.47</v>
      </c>
      <c r="E53" s="276">
        <f>SUM(E43+E51)</f>
        <v>868341523.98</v>
      </c>
      <c r="F53" s="276">
        <f>SUM(F43+F51)</f>
        <v>100</v>
      </c>
    </row>
    <row r="54" spans="1:5" ht="12.75" customHeight="1" thickTop="1">
      <c r="A54" s="11"/>
      <c r="B54" s="19"/>
      <c r="C54" s="19"/>
      <c r="D54" s="19"/>
      <c r="E54" s="153"/>
    </row>
    <row r="55" spans="1:5" ht="6" customHeight="1">
      <c r="A55" s="55"/>
      <c r="B55" s="19"/>
      <c r="C55" s="19"/>
      <c r="D55" s="19"/>
      <c r="E55" s="153"/>
    </row>
    <row r="56" spans="1:4" ht="12.75">
      <c r="A56" s="11"/>
      <c r="B56" s="11"/>
      <c r="C56" s="11"/>
      <c r="D56" s="11"/>
    </row>
    <row r="57" spans="1:6" ht="12.75">
      <c r="A57" s="11"/>
      <c r="B57" s="11"/>
      <c r="C57" s="11"/>
      <c r="D57" s="11"/>
      <c r="E57" s="11"/>
      <c r="F57" s="114"/>
    </row>
    <row r="58" spans="1:6" ht="12.75">
      <c r="A58" s="206"/>
      <c r="F58" s="153"/>
    </row>
    <row r="59" spans="1:6" ht="12.75">
      <c r="A59" s="206"/>
      <c r="F59" s="153"/>
    </row>
    <row r="60" spans="1:6" ht="12.75">
      <c r="A60" s="206"/>
      <c r="F60" s="153"/>
    </row>
    <row r="61" spans="1:6" ht="12.75">
      <c r="A61" s="206"/>
      <c r="F61" s="153"/>
    </row>
    <row r="62" ht="12.75">
      <c r="F62" s="153"/>
    </row>
    <row r="63" ht="12.75">
      <c r="F63" s="153"/>
    </row>
    <row r="64" ht="12.75">
      <c r="F64" s="153"/>
    </row>
    <row r="65" ht="12.75">
      <c r="F65" s="153"/>
    </row>
    <row r="66" ht="12.75">
      <c r="F66" s="114"/>
    </row>
    <row r="67" ht="12.75">
      <c r="F67" s="114"/>
    </row>
  </sheetData>
  <sheetProtection/>
  <mergeCells count="5">
    <mergeCell ref="A5:F5"/>
    <mergeCell ref="E1:F1"/>
    <mergeCell ref="A2:F2"/>
    <mergeCell ref="A3:F3"/>
    <mergeCell ref="A4:F4"/>
  </mergeCells>
  <printOptions/>
  <pageMargins left="0.78" right="0.4724409448818898" top="0.7874015748031497" bottom="0.5905511811023623" header="0" footer="0"/>
  <pageSetup fitToHeight="1" fitToWidth="1"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14.7109375" style="1" customWidth="1"/>
    <col min="2" max="5" width="14.00390625" style="22" customWidth="1"/>
    <col min="6" max="6" width="13.8515625" style="22" customWidth="1"/>
    <col min="7" max="16384" width="11.421875" style="1" customWidth="1"/>
  </cols>
  <sheetData>
    <row r="1" spans="1:6" ht="12.75" customHeight="1">
      <c r="A1" s="214"/>
      <c r="B1" s="215"/>
      <c r="C1" s="215"/>
      <c r="D1" s="215"/>
      <c r="E1" s="215"/>
      <c r="F1" s="216" t="s">
        <v>466</v>
      </c>
    </row>
    <row r="2" spans="1:6" ht="12.75" customHeight="1">
      <c r="A2" s="288" t="s">
        <v>283</v>
      </c>
      <c r="B2" s="288"/>
      <c r="C2" s="288"/>
      <c r="D2" s="288"/>
      <c r="E2" s="288"/>
      <c r="F2" s="288"/>
    </row>
    <row r="3" spans="1:6" ht="12.75" customHeight="1">
      <c r="A3" s="288" t="s">
        <v>406</v>
      </c>
      <c r="B3" s="288"/>
      <c r="C3" s="288"/>
      <c r="D3" s="288"/>
      <c r="E3" s="288"/>
      <c r="F3" s="288"/>
    </row>
    <row r="4" spans="1:6" ht="12.75" customHeight="1">
      <c r="A4" s="288" t="s">
        <v>285</v>
      </c>
      <c r="B4" s="288"/>
      <c r="C4" s="288"/>
      <c r="D4" s="288"/>
      <c r="E4" s="288"/>
      <c r="F4" s="288"/>
    </row>
    <row r="5" spans="1:7" ht="12.75" customHeight="1">
      <c r="A5" s="287" t="s">
        <v>476</v>
      </c>
      <c r="B5" s="288"/>
      <c r="C5" s="288"/>
      <c r="D5" s="288"/>
      <c r="E5" s="288"/>
      <c r="F5" s="288"/>
      <c r="G5" s="35"/>
    </row>
    <row r="6" spans="1:7" ht="18.75" customHeight="1">
      <c r="A6" s="87"/>
      <c r="B6" s="87"/>
      <c r="C6" s="87"/>
      <c r="D6" s="87"/>
      <c r="E6" s="87"/>
      <c r="F6" s="87"/>
      <c r="G6" s="35"/>
    </row>
    <row r="7" spans="1:6" ht="12.75">
      <c r="A7" s="207" t="s">
        <v>31</v>
      </c>
      <c r="B7" s="208" t="s">
        <v>32</v>
      </c>
      <c r="C7" s="208" t="s">
        <v>32</v>
      </c>
      <c r="D7" s="208" t="s">
        <v>32</v>
      </c>
      <c r="E7" s="208" t="s">
        <v>33</v>
      </c>
      <c r="F7" s="208"/>
    </row>
    <row r="8" spans="1:6" ht="12.75">
      <c r="A8" s="2" t="s">
        <v>34</v>
      </c>
      <c r="B8" s="23" t="s">
        <v>144</v>
      </c>
      <c r="C8" s="23" t="s">
        <v>144</v>
      </c>
      <c r="D8" s="23" t="s">
        <v>144</v>
      </c>
      <c r="E8" s="23" t="s">
        <v>146</v>
      </c>
      <c r="F8" s="23" t="s">
        <v>20</v>
      </c>
    </row>
    <row r="9" spans="1:6" ht="12.75">
      <c r="A9" s="83" t="s">
        <v>143</v>
      </c>
      <c r="B9" s="86" t="s">
        <v>145</v>
      </c>
      <c r="C9" s="86" t="s">
        <v>302</v>
      </c>
      <c r="D9" s="86" t="s">
        <v>318</v>
      </c>
      <c r="E9" s="86" t="s">
        <v>145</v>
      </c>
      <c r="F9" s="86" t="s">
        <v>147</v>
      </c>
    </row>
    <row r="10" spans="1:6" ht="12" customHeight="1">
      <c r="A10" s="2"/>
      <c r="B10" s="23"/>
      <c r="C10" s="23"/>
      <c r="D10" s="23"/>
      <c r="E10" s="23"/>
      <c r="F10" s="23"/>
    </row>
    <row r="11" spans="1:6" ht="12.75" customHeight="1">
      <c r="A11" s="260" t="s">
        <v>473</v>
      </c>
      <c r="B11" s="23"/>
      <c r="C11" s="23"/>
      <c r="D11" s="23"/>
      <c r="E11" s="23"/>
      <c r="F11" s="23"/>
    </row>
    <row r="12" spans="1:6" ht="5.25" customHeight="1">
      <c r="A12" s="2"/>
      <c r="B12" s="23"/>
      <c r="C12" s="23"/>
      <c r="D12" s="23"/>
      <c r="E12" s="23"/>
      <c r="F12" s="23"/>
    </row>
    <row r="13" spans="1:6" ht="12.75">
      <c r="A13" s="259">
        <v>40393</v>
      </c>
      <c r="B13" s="123"/>
      <c r="C13" s="123"/>
      <c r="D13" s="123"/>
      <c r="E13" s="123">
        <v>10000000</v>
      </c>
      <c r="F13" s="129">
        <f>SUM(B13:E13)</f>
        <v>10000000</v>
      </c>
    </row>
    <row r="14" spans="1:6" ht="12.75">
      <c r="A14" s="259">
        <v>40400</v>
      </c>
      <c r="B14" s="123">
        <v>125212000</v>
      </c>
      <c r="C14" s="123"/>
      <c r="D14" s="123"/>
      <c r="E14" s="123"/>
      <c r="F14" s="129">
        <f aca="true" t="shared" si="0" ref="F14:F22">SUM(B14:E14)</f>
        <v>125212000</v>
      </c>
    </row>
    <row r="15" spans="1:6" ht="12.75">
      <c r="A15" s="259">
        <v>40400</v>
      </c>
      <c r="B15" s="123">
        <v>13157000</v>
      </c>
      <c r="C15" s="123"/>
      <c r="D15" s="123"/>
      <c r="E15" s="123"/>
      <c r="F15" s="129">
        <f t="shared" si="0"/>
        <v>13157000</v>
      </c>
    </row>
    <row r="16" spans="1:6" ht="12.75">
      <c r="A16" s="259">
        <v>40402</v>
      </c>
      <c r="B16" s="123"/>
      <c r="C16" s="123"/>
      <c r="D16" s="123"/>
      <c r="E16" s="123">
        <v>40000000</v>
      </c>
      <c r="F16" s="129">
        <f t="shared" si="0"/>
        <v>40000000</v>
      </c>
    </row>
    <row r="17" spans="1:6" ht="12.75">
      <c r="A17" s="259">
        <v>40403</v>
      </c>
      <c r="B17" s="123">
        <v>2940733</v>
      </c>
      <c r="C17" s="123"/>
      <c r="D17" s="123"/>
      <c r="E17" s="123"/>
      <c r="F17" s="129">
        <f t="shared" si="0"/>
        <v>2940733</v>
      </c>
    </row>
    <row r="18" spans="1:6" ht="12.75">
      <c r="A18" s="259">
        <v>40403</v>
      </c>
      <c r="B18" s="123"/>
      <c r="C18" s="123"/>
      <c r="D18" s="123">
        <v>19324000</v>
      </c>
      <c r="E18" s="123"/>
      <c r="F18" s="129">
        <f t="shared" si="0"/>
        <v>19324000</v>
      </c>
    </row>
    <row r="19" spans="1:6" ht="12.75">
      <c r="A19" s="259">
        <v>40403</v>
      </c>
      <c r="B19" s="123"/>
      <c r="C19" s="123"/>
      <c r="D19" s="123">
        <v>14706000</v>
      </c>
      <c r="E19" s="123"/>
      <c r="F19" s="129">
        <f t="shared" si="0"/>
        <v>14706000</v>
      </c>
    </row>
    <row r="20" spans="1:6" ht="12.75">
      <c r="A20" s="259">
        <v>40414</v>
      </c>
      <c r="C20" s="123"/>
      <c r="D20" s="123"/>
      <c r="E20" s="123">
        <v>25000000</v>
      </c>
      <c r="F20" s="129">
        <f t="shared" si="0"/>
        <v>25000000</v>
      </c>
    </row>
    <row r="21" spans="1:6" ht="12.75">
      <c r="A21" s="259">
        <v>40416</v>
      </c>
      <c r="C21" s="123">
        <v>155909.76</v>
      </c>
      <c r="D21" s="123"/>
      <c r="E21" s="123"/>
      <c r="F21" s="129">
        <f t="shared" si="0"/>
        <v>155909.76</v>
      </c>
    </row>
    <row r="22" spans="1:6" ht="12.75">
      <c r="A22" s="259">
        <v>40416</v>
      </c>
      <c r="C22" s="123">
        <v>510864.75</v>
      </c>
      <c r="D22" s="123"/>
      <c r="E22" s="123"/>
      <c r="F22" s="129">
        <f t="shared" si="0"/>
        <v>510864.75</v>
      </c>
    </row>
    <row r="23" spans="1:6" ht="6" customHeight="1">
      <c r="A23" s="236"/>
      <c r="B23" s="126"/>
      <c r="C23" s="126"/>
      <c r="D23" s="209"/>
      <c r="E23" s="126"/>
      <c r="F23" s="126"/>
    </row>
    <row r="24" spans="1:6" ht="12.75">
      <c r="A24" s="242" t="s">
        <v>436</v>
      </c>
      <c r="B24" s="134">
        <f>SUM(B13:B23)</f>
        <v>141309733</v>
      </c>
      <c r="C24" s="134">
        <f>SUM(C13:C23)</f>
        <v>666774.51</v>
      </c>
      <c r="D24" s="134">
        <f>SUM(D13:D23)</f>
        <v>34030000</v>
      </c>
      <c r="E24" s="134">
        <f>SUM(E13:E23)</f>
        <v>75000000</v>
      </c>
      <c r="F24" s="134">
        <f>SUM(F13:F23)</f>
        <v>251006507.51</v>
      </c>
    </row>
    <row r="25" spans="1:6" ht="16.5" customHeight="1">
      <c r="A25" s="232"/>
      <c r="B25" s="23"/>
      <c r="C25" s="23"/>
      <c r="D25" s="23"/>
      <c r="E25" s="23"/>
      <c r="F25" s="23"/>
    </row>
    <row r="26" spans="1:6" ht="12.75">
      <c r="A26" s="260" t="s">
        <v>474</v>
      </c>
      <c r="B26" s="23"/>
      <c r="C26" s="23"/>
      <c r="D26" s="23"/>
      <c r="E26" s="23"/>
      <c r="F26" s="23"/>
    </row>
    <row r="27" spans="1:6" ht="5.25" customHeight="1">
      <c r="A27" s="232"/>
      <c r="B27" s="23"/>
      <c r="C27" s="23"/>
      <c r="D27" s="23"/>
      <c r="E27" s="23"/>
      <c r="F27" s="23"/>
    </row>
    <row r="28" spans="1:7" ht="12.75">
      <c r="A28" s="259">
        <v>40422</v>
      </c>
      <c r="B28" s="129"/>
      <c r="C28" s="129"/>
      <c r="D28" s="129"/>
      <c r="E28" s="129">
        <v>10000000</v>
      </c>
      <c r="F28" s="129">
        <f>SUM(B28:E28)</f>
        <v>10000000</v>
      </c>
      <c r="G28" s="94"/>
    </row>
    <row r="29" spans="1:7" ht="12.75">
      <c r="A29" s="259">
        <v>40427</v>
      </c>
      <c r="B29" s="129">
        <v>13157000</v>
      </c>
      <c r="C29" s="129"/>
      <c r="D29" s="129"/>
      <c r="E29" s="129"/>
      <c r="F29" s="129">
        <f aca="true" t="shared" si="1" ref="F29:F42">SUM(B29:E29)</f>
        <v>13157000</v>
      </c>
      <c r="G29" s="94"/>
    </row>
    <row r="30" spans="1:7" ht="12.75">
      <c r="A30" s="259">
        <v>40427</v>
      </c>
      <c r="B30" s="129">
        <v>79269000</v>
      </c>
      <c r="C30" s="129"/>
      <c r="D30" s="129"/>
      <c r="E30" s="129"/>
      <c r="F30" s="129">
        <f t="shared" si="1"/>
        <v>79269000</v>
      </c>
      <c r="G30" s="94"/>
    </row>
    <row r="31" spans="1:7" ht="12.75">
      <c r="A31" s="259">
        <v>40435</v>
      </c>
      <c r="B31" s="129"/>
      <c r="C31" s="129"/>
      <c r="E31" s="129">
        <v>40000000</v>
      </c>
      <c r="F31" s="129">
        <f t="shared" si="1"/>
        <v>40000000</v>
      </c>
      <c r="G31" s="94"/>
    </row>
    <row r="32" spans="1:7" ht="12.75">
      <c r="A32" s="259">
        <v>40441</v>
      </c>
      <c r="B32" s="129">
        <v>46307000</v>
      </c>
      <c r="C32" s="129"/>
      <c r="E32" s="129"/>
      <c r="F32" s="129">
        <f t="shared" si="1"/>
        <v>46307000</v>
      </c>
      <c r="G32" s="94"/>
    </row>
    <row r="33" spans="1:7" ht="12.75">
      <c r="A33" s="259">
        <v>40445</v>
      </c>
      <c r="B33" s="129"/>
      <c r="C33" s="129"/>
      <c r="D33" s="129">
        <v>4882000</v>
      </c>
      <c r="E33" s="129"/>
      <c r="F33" s="129">
        <f t="shared" si="1"/>
        <v>4882000</v>
      </c>
      <c r="G33" s="94"/>
    </row>
    <row r="34" spans="1:7" ht="12.75">
      <c r="A34" s="259">
        <v>40445</v>
      </c>
      <c r="B34" s="129"/>
      <c r="C34" s="129"/>
      <c r="D34" s="129">
        <v>25450000</v>
      </c>
      <c r="E34" s="129"/>
      <c r="F34" s="129">
        <f t="shared" si="1"/>
        <v>25450000</v>
      </c>
      <c r="G34" s="94"/>
    </row>
    <row r="35" spans="1:7" ht="12.75">
      <c r="A35" s="259">
        <v>40445</v>
      </c>
      <c r="B35" s="129"/>
      <c r="C35" s="129"/>
      <c r="D35" s="129">
        <v>51586000</v>
      </c>
      <c r="E35" s="129"/>
      <c r="F35" s="129">
        <f t="shared" si="1"/>
        <v>51586000</v>
      </c>
      <c r="G35" s="94"/>
    </row>
    <row r="36" spans="1:7" ht="12.75">
      <c r="A36" s="259">
        <v>40445</v>
      </c>
      <c r="B36" s="129"/>
      <c r="C36" s="129"/>
      <c r="D36" s="129">
        <v>12278000</v>
      </c>
      <c r="E36" s="129"/>
      <c r="F36" s="129">
        <f t="shared" si="1"/>
        <v>12278000</v>
      </c>
      <c r="G36" s="94"/>
    </row>
    <row r="37" spans="1:7" ht="12.75">
      <c r="A37" s="259">
        <v>40445</v>
      </c>
      <c r="B37" s="129"/>
      <c r="C37" s="129"/>
      <c r="D37" s="129">
        <v>6495000</v>
      </c>
      <c r="E37" s="129"/>
      <c r="F37" s="129">
        <f t="shared" si="1"/>
        <v>6495000</v>
      </c>
      <c r="G37" s="94"/>
    </row>
    <row r="38" spans="1:7" ht="12.75">
      <c r="A38" s="259">
        <v>40445</v>
      </c>
      <c r="B38" s="129"/>
      <c r="C38" s="129"/>
      <c r="D38" s="129">
        <v>6495638</v>
      </c>
      <c r="E38" s="129"/>
      <c r="F38" s="129">
        <f t="shared" si="1"/>
        <v>6495638</v>
      </c>
      <c r="G38" s="94"/>
    </row>
    <row r="39" spans="1:7" ht="12.75">
      <c r="A39" s="259">
        <v>40445</v>
      </c>
      <c r="B39" s="129"/>
      <c r="C39" s="129"/>
      <c r="D39" s="129">
        <v>14390000</v>
      </c>
      <c r="E39" s="129"/>
      <c r="F39" s="129">
        <f t="shared" si="1"/>
        <v>14390000</v>
      </c>
      <c r="G39" s="94"/>
    </row>
    <row r="40" spans="1:7" ht="12.75">
      <c r="A40" s="259">
        <v>40445</v>
      </c>
      <c r="B40" s="129"/>
      <c r="C40" s="129"/>
      <c r="D40" s="129">
        <v>14390321</v>
      </c>
      <c r="E40" s="129"/>
      <c r="F40" s="129">
        <f t="shared" si="1"/>
        <v>14390321</v>
      </c>
      <c r="G40" s="94"/>
    </row>
    <row r="41" spans="1:7" ht="12.75">
      <c r="A41" s="259">
        <v>40448</v>
      </c>
      <c r="B41" s="129"/>
      <c r="C41" s="129"/>
      <c r="D41" s="129"/>
      <c r="E41" s="129">
        <v>25000000</v>
      </c>
      <c r="F41" s="129">
        <f t="shared" si="1"/>
        <v>25000000</v>
      </c>
      <c r="G41" s="94"/>
    </row>
    <row r="42" spans="1:7" ht="12.75">
      <c r="A42" s="259">
        <v>40451</v>
      </c>
      <c r="B42" s="129"/>
      <c r="C42" s="129"/>
      <c r="E42" s="129">
        <v>10000000</v>
      </c>
      <c r="F42" s="129">
        <f t="shared" si="1"/>
        <v>10000000</v>
      </c>
      <c r="G42" s="94"/>
    </row>
    <row r="43" spans="1:7" ht="6" customHeight="1">
      <c r="A43" s="236"/>
      <c r="B43" s="126"/>
      <c r="C43" s="126"/>
      <c r="D43" s="126"/>
      <c r="E43" s="126"/>
      <c r="F43" s="126"/>
      <c r="G43" s="94"/>
    </row>
    <row r="44" spans="1:7" ht="12.75" customHeight="1">
      <c r="A44" s="242" t="s">
        <v>436</v>
      </c>
      <c r="B44" s="134">
        <f>SUM(B28:B43)</f>
        <v>138733000</v>
      </c>
      <c r="C44" s="134">
        <f>SUM(C28:C43)</f>
        <v>0</v>
      </c>
      <c r="D44" s="134">
        <f>SUM(D28:D43)</f>
        <v>135966959</v>
      </c>
      <c r="E44" s="134">
        <f>SUM(E28:E43)</f>
        <v>85000000</v>
      </c>
      <c r="F44" s="134">
        <f>SUM(F28:F43)</f>
        <v>359699959</v>
      </c>
      <c r="G44" s="94"/>
    </row>
    <row r="45" spans="1:7" ht="17.25" customHeight="1">
      <c r="A45" s="231"/>
      <c r="B45" s="154"/>
      <c r="C45" s="154"/>
      <c r="D45" s="154"/>
      <c r="E45" s="154"/>
      <c r="F45" s="154"/>
      <c r="G45" s="94"/>
    </row>
    <row r="46" spans="1:7" ht="12.75" customHeight="1">
      <c r="A46" s="260" t="s">
        <v>475</v>
      </c>
      <c r="B46" s="154"/>
      <c r="C46" s="154"/>
      <c r="D46" s="154"/>
      <c r="E46" s="154"/>
      <c r="F46" s="154"/>
      <c r="G46" s="94"/>
    </row>
    <row r="47" spans="1:7" ht="5.25" customHeight="1">
      <c r="A47" s="231"/>
      <c r="B47" s="154"/>
      <c r="C47" s="154"/>
      <c r="D47" s="154"/>
      <c r="E47" s="154"/>
      <c r="F47" s="154"/>
      <c r="G47" s="94"/>
    </row>
    <row r="48" spans="1:7" ht="12.75" customHeight="1">
      <c r="A48" s="259">
        <v>40457</v>
      </c>
      <c r="B48" s="123">
        <v>125212000</v>
      </c>
      <c r="C48" s="154"/>
      <c r="D48" s="154"/>
      <c r="E48" s="154"/>
      <c r="F48" s="129">
        <f>SUM(B48:E48)</f>
        <v>125212000</v>
      </c>
      <c r="G48" s="94"/>
    </row>
    <row r="49" spans="1:7" ht="12.75" customHeight="1">
      <c r="A49" s="259">
        <v>40457</v>
      </c>
      <c r="B49" s="123">
        <v>1663382</v>
      </c>
      <c r="C49" s="154"/>
      <c r="D49" s="154"/>
      <c r="E49" s="154"/>
      <c r="F49" s="129">
        <f aca="true" t="shared" si="2" ref="F49:F60">SUM(B49:E49)</f>
        <v>1663382</v>
      </c>
      <c r="G49" s="94"/>
    </row>
    <row r="50" spans="1:7" ht="12.75" customHeight="1">
      <c r="A50" s="259">
        <v>40457</v>
      </c>
      <c r="B50" s="123"/>
      <c r="C50" s="154"/>
      <c r="D50" s="123">
        <v>12234310</v>
      </c>
      <c r="E50" s="154"/>
      <c r="F50" s="129">
        <f t="shared" si="2"/>
        <v>12234310</v>
      </c>
      <c r="G50" s="94"/>
    </row>
    <row r="51" spans="1:7" ht="12.75" customHeight="1">
      <c r="A51" s="259">
        <v>40464</v>
      </c>
      <c r="B51" s="123">
        <v>13157000</v>
      </c>
      <c r="C51" s="123"/>
      <c r="D51" s="123"/>
      <c r="E51" s="123"/>
      <c r="F51" s="129">
        <f t="shared" si="2"/>
        <v>13157000</v>
      </c>
      <c r="G51" s="94"/>
    </row>
    <row r="52" spans="1:7" ht="12.75" customHeight="1">
      <c r="A52" s="259">
        <v>40465</v>
      </c>
      <c r="B52" s="123"/>
      <c r="C52" s="123"/>
      <c r="D52" s="123"/>
      <c r="E52" s="123">
        <v>40000000</v>
      </c>
      <c r="F52" s="129">
        <f t="shared" si="2"/>
        <v>40000000</v>
      </c>
      <c r="G52" s="94"/>
    </row>
    <row r="53" spans="1:7" ht="12.75" customHeight="1">
      <c r="A53" s="259">
        <v>40466</v>
      </c>
      <c r="B53" s="123">
        <v>1614506</v>
      </c>
      <c r="C53" s="123"/>
      <c r="D53" s="123"/>
      <c r="E53" s="123"/>
      <c r="F53" s="129">
        <f t="shared" si="2"/>
        <v>1614506</v>
      </c>
      <c r="G53" s="94"/>
    </row>
    <row r="54" spans="1:7" ht="12.75" customHeight="1">
      <c r="A54" s="259">
        <v>40466</v>
      </c>
      <c r="B54" s="123"/>
      <c r="C54" s="123"/>
      <c r="D54" s="123">
        <v>11900736</v>
      </c>
      <c r="E54" s="123"/>
      <c r="F54" s="129">
        <f t="shared" si="2"/>
        <v>11900736</v>
      </c>
      <c r="G54" s="94"/>
    </row>
    <row r="55" spans="1:7" ht="12.75" customHeight="1">
      <c r="A55" s="259">
        <v>40466</v>
      </c>
      <c r="B55" s="123"/>
      <c r="C55" s="123"/>
      <c r="D55" s="123">
        <v>2442927</v>
      </c>
      <c r="E55" s="123"/>
      <c r="F55" s="129">
        <f t="shared" si="2"/>
        <v>2442927</v>
      </c>
      <c r="G55" s="94"/>
    </row>
    <row r="56" spans="1:7" ht="12.75" customHeight="1">
      <c r="A56" s="259">
        <v>40466</v>
      </c>
      <c r="B56" s="123"/>
      <c r="C56" s="123"/>
      <c r="D56" s="123">
        <v>9000000</v>
      </c>
      <c r="E56" s="123"/>
      <c r="F56" s="129">
        <f t="shared" si="2"/>
        <v>9000000</v>
      </c>
      <c r="G56" s="94"/>
    </row>
    <row r="57" spans="1:7" ht="12.75" customHeight="1">
      <c r="A57" s="259">
        <v>40466</v>
      </c>
      <c r="B57" s="123"/>
      <c r="C57" s="123"/>
      <c r="D57" s="123">
        <v>5008454</v>
      </c>
      <c r="E57" s="123"/>
      <c r="F57" s="129">
        <f t="shared" si="2"/>
        <v>5008454</v>
      </c>
      <c r="G57" s="94"/>
    </row>
    <row r="58" spans="1:7" ht="12.75" customHeight="1">
      <c r="A58" s="259">
        <v>40477</v>
      </c>
      <c r="B58" s="123"/>
      <c r="C58" s="123"/>
      <c r="D58" s="123"/>
      <c r="E58" s="123">
        <v>25000000</v>
      </c>
      <c r="F58" s="129">
        <f t="shared" si="2"/>
        <v>25000000</v>
      </c>
      <c r="G58" s="94"/>
    </row>
    <row r="59" spans="1:7" ht="12.75" customHeight="1">
      <c r="A59" s="259">
        <v>40480</v>
      </c>
      <c r="B59" s="123"/>
      <c r="C59" s="123">
        <v>401742.47</v>
      </c>
      <c r="D59" s="123"/>
      <c r="E59" s="123"/>
      <c r="F59" s="129">
        <f t="shared" si="2"/>
        <v>401742.47</v>
      </c>
      <c r="G59" s="94"/>
    </row>
    <row r="60" spans="1:7" ht="12.75" customHeight="1">
      <c r="A60" s="259">
        <v>40480</v>
      </c>
      <c r="B60" s="123"/>
      <c r="C60" s="123"/>
      <c r="D60" s="123"/>
      <c r="E60" s="123">
        <v>10000000</v>
      </c>
      <c r="F60" s="129">
        <f t="shared" si="2"/>
        <v>10000000</v>
      </c>
      <c r="G60" s="94"/>
    </row>
    <row r="61" spans="1:7" ht="6" customHeight="1">
      <c r="A61" s="236"/>
      <c r="B61" s="126"/>
      <c r="C61" s="126"/>
      <c r="D61" s="209"/>
      <c r="E61" s="126"/>
      <c r="F61" s="126"/>
      <c r="G61" s="94"/>
    </row>
    <row r="62" spans="1:6" ht="12.75">
      <c r="A62" s="242" t="s">
        <v>436</v>
      </c>
      <c r="B62" s="134">
        <f>SUM(B48:B61)</f>
        <v>141646888</v>
      </c>
      <c r="C62" s="134">
        <f>SUM(C48:C61)</f>
        <v>401742.47</v>
      </c>
      <c r="D62" s="134">
        <f>SUM(D48:D61)</f>
        <v>40586427</v>
      </c>
      <c r="E62" s="134">
        <f>SUM(E48:E61)</f>
        <v>75000000</v>
      </c>
      <c r="F62" s="134">
        <f>SUM(F48:F61)</f>
        <v>257635057.47</v>
      </c>
    </row>
    <row r="63" ht="6" customHeight="1">
      <c r="A63" s="237"/>
    </row>
    <row r="64" spans="1:6" ht="13.5" thickBot="1">
      <c r="A64" s="238" t="s">
        <v>20</v>
      </c>
      <c r="B64" s="243">
        <f>SUM(B24+B44+B62)</f>
        <v>421689621</v>
      </c>
      <c r="C64" s="243">
        <f>SUM(C24+C44+C62)</f>
        <v>1068516.98</v>
      </c>
      <c r="D64" s="243">
        <f>SUM(D24+D44+D62)</f>
        <v>210583386</v>
      </c>
      <c r="E64" s="243">
        <f>SUM(E24+E44+E62)</f>
        <v>235000000</v>
      </c>
      <c r="F64" s="243">
        <f>SUM(F24+F44+F62)</f>
        <v>868341523.98</v>
      </c>
    </row>
    <row r="65" ht="13.5" thickTop="1"/>
  </sheetData>
  <sheetProtection/>
  <mergeCells count="4">
    <mergeCell ref="A2:F2"/>
    <mergeCell ref="A3:F3"/>
    <mergeCell ref="A4:F4"/>
    <mergeCell ref="A5:F5"/>
  </mergeCells>
  <printOptions/>
  <pageMargins left="0.8661417322834646" right="0.5905511811023623" top="0.7874015748031497" bottom="0.984251968503937" header="0" footer="0.3937007874015748"/>
  <pageSetup fitToHeight="2" horizontalDpi="600" verticalDpi="600" orientation="portrait" r:id="rId1"/>
  <headerFooter alignWithMargins="0">
    <oddFooter>&amp;R&amp;P de &amp;N</oddFooter>
  </headerFooter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selection activeCell="K26" sqref="K26"/>
    </sheetView>
  </sheetViews>
  <sheetFormatPr defaultColWidth="11.421875" defaultRowHeight="12.75"/>
  <cols>
    <col min="1" max="1" width="33.8515625" style="1" customWidth="1"/>
    <col min="2" max="5" width="12.8515625" style="22" customWidth="1"/>
    <col min="6" max="6" width="6.57421875" style="1" customWidth="1"/>
    <col min="7" max="7" width="2.140625" style="1" customWidth="1"/>
    <col min="8" max="8" width="12.7109375" style="1" bestFit="1" customWidth="1"/>
    <col min="9" max="16384" width="11.421875" style="1" customWidth="1"/>
  </cols>
  <sheetData>
    <row r="1" spans="1:6" s="7" customFormat="1" ht="12.75" customHeight="1">
      <c r="A1" s="88"/>
      <c r="B1" s="89"/>
      <c r="C1" s="89"/>
      <c r="D1" s="89"/>
      <c r="E1" s="293" t="s">
        <v>5</v>
      </c>
      <c r="F1" s="293"/>
    </row>
    <row r="2" spans="1:6" s="7" customFormat="1" ht="12.75" customHeight="1">
      <c r="A2" s="287" t="s">
        <v>283</v>
      </c>
      <c r="B2" s="287"/>
      <c r="C2" s="287"/>
      <c r="D2" s="287"/>
      <c r="E2" s="287"/>
      <c r="F2" s="287"/>
    </row>
    <row r="3" spans="1:7" s="7" customFormat="1" ht="12.75" customHeight="1">
      <c r="A3" s="292" t="s">
        <v>406</v>
      </c>
      <c r="B3" s="292"/>
      <c r="C3" s="292"/>
      <c r="D3" s="292"/>
      <c r="E3" s="292"/>
      <c r="F3" s="292"/>
      <c r="G3" s="222"/>
    </row>
    <row r="4" spans="1:6" s="7" customFormat="1" ht="12.75" customHeight="1">
      <c r="A4" s="287" t="s">
        <v>286</v>
      </c>
      <c r="B4" s="287"/>
      <c r="C4" s="287"/>
      <c r="D4" s="287"/>
      <c r="E4" s="287"/>
      <c r="F4" s="287"/>
    </row>
    <row r="5" spans="1:7" s="7" customFormat="1" ht="12.75" customHeight="1">
      <c r="A5" s="287" t="s">
        <v>476</v>
      </c>
      <c r="B5" s="287"/>
      <c r="C5" s="287"/>
      <c r="D5" s="287"/>
      <c r="E5" s="287"/>
      <c r="F5" s="287"/>
      <c r="G5" s="222"/>
    </row>
    <row r="6" spans="1:6" ht="18.75" customHeight="1">
      <c r="A6" s="16"/>
      <c r="B6" s="16"/>
      <c r="C6" s="16"/>
      <c r="D6" s="16"/>
      <c r="E6" s="16"/>
      <c r="F6" s="16"/>
    </row>
    <row r="7" spans="1:6" ht="26.25" customHeight="1">
      <c r="A7" s="218" t="s">
        <v>19</v>
      </c>
      <c r="B7" s="219" t="s">
        <v>473</v>
      </c>
      <c r="C7" s="219" t="s">
        <v>474</v>
      </c>
      <c r="D7" s="219" t="s">
        <v>475</v>
      </c>
      <c r="E7" s="218" t="s">
        <v>20</v>
      </c>
      <c r="F7" s="220" t="s">
        <v>21</v>
      </c>
    </row>
    <row r="8" spans="1:6" ht="9" customHeight="1">
      <c r="A8" s="2"/>
      <c r="B8" s="23"/>
      <c r="C8" s="23"/>
      <c r="D8" s="23"/>
      <c r="E8" s="23"/>
      <c r="F8" s="2"/>
    </row>
    <row r="9" spans="1:6" ht="12.75">
      <c r="A9" s="7" t="s">
        <v>35</v>
      </c>
      <c r="B9" s="124">
        <v>745555</v>
      </c>
      <c r="C9" s="129">
        <v>1210915</v>
      </c>
      <c r="D9" s="124">
        <v>1400947</v>
      </c>
      <c r="E9" s="124">
        <f aca="true" t="shared" si="0" ref="E9:E28">SUM(B9:D9)</f>
        <v>3357417</v>
      </c>
      <c r="F9" s="130">
        <f aca="true" t="shared" si="1" ref="F9:F28">(E9/$E$46*100)</f>
        <v>4.245590998929025</v>
      </c>
    </row>
    <row r="10" spans="1:6" ht="12.75">
      <c r="A10" s="7" t="s">
        <v>36</v>
      </c>
      <c r="B10" s="129"/>
      <c r="C10" s="124">
        <v>147560</v>
      </c>
      <c r="D10" s="129">
        <v>218819</v>
      </c>
      <c r="E10" s="124">
        <f t="shared" si="0"/>
        <v>366379</v>
      </c>
      <c r="F10" s="130">
        <f t="shared" si="1"/>
        <v>0.4633012177506151</v>
      </c>
    </row>
    <row r="11" spans="1:6" ht="12.75">
      <c r="A11" s="7" t="s">
        <v>37</v>
      </c>
      <c r="B11" s="129">
        <v>22900260</v>
      </c>
      <c r="C11" s="124">
        <v>7439102</v>
      </c>
      <c r="D11" s="129">
        <v>5663993</v>
      </c>
      <c r="E11" s="124">
        <f t="shared" si="0"/>
        <v>36003355</v>
      </c>
      <c r="F11" s="130">
        <f t="shared" si="1"/>
        <v>45.52771369158084</v>
      </c>
    </row>
    <row r="12" spans="1:6" ht="12.75">
      <c r="A12" s="7" t="s">
        <v>38</v>
      </c>
      <c r="B12" s="124">
        <v>7612890</v>
      </c>
      <c r="C12" s="124">
        <v>1762526</v>
      </c>
      <c r="D12" s="124">
        <v>1181654</v>
      </c>
      <c r="E12" s="124">
        <f t="shared" si="0"/>
        <v>10557070</v>
      </c>
      <c r="F12" s="130">
        <f t="shared" si="1"/>
        <v>13.349846434644144</v>
      </c>
    </row>
    <row r="13" spans="1:6" ht="12.75">
      <c r="A13" s="7" t="s">
        <v>39</v>
      </c>
      <c r="B13" s="124">
        <v>1332056</v>
      </c>
      <c r="C13" s="124">
        <v>2974841</v>
      </c>
      <c r="D13" s="124">
        <v>245685</v>
      </c>
      <c r="E13" s="124">
        <f t="shared" si="0"/>
        <v>4552582</v>
      </c>
      <c r="F13" s="130">
        <f t="shared" si="1"/>
        <v>5.756925982410375</v>
      </c>
    </row>
    <row r="14" spans="1:6" ht="12.75">
      <c r="A14" s="7" t="s">
        <v>40</v>
      </c>
      <c r="B14" s="124">
        <v>2942663</v>
      </c>
      <c r="C14" s="124">
        <v>806204</v>
      </c>
      <c r="D14" s="124">
        <v>3121565.65</v>
      </c>
      <c r="E14" s="124">
        <f t="shared" si="0"/>
        <v>6870432.65</v>
      </c>
      <c r="F14" s="130">
        <f t="shared" si="1"/>
        <v>8.68794284939526</v>
      </c>
    </row>
    <row r="15" spans="1:6" ht="12.75">
      <c r="A15" s="6" t="s">
        <v>41</v>
      </c>
      <c r="B15" s="124">
        <f>586582+10798</f>
        <v>597380</v>
      </c>
      <c r="C15" s="124">
        <f>826883+12858</f>
        <v>839741</v>
      </c>
      <c r="D15" s="124">
        <f>772315+8942</f>
        <v>781257</v>
      </c>
      <c r="E15" s="124">
        <f t="shared" si="0"/>
        <v>2218378</v>
      </c>
      <c r="F15" s="130">
        <f t="shared" si="1"/>
        <v>2.8052296360631317</v>
      </c>
    </row>
    <row r="16" spans="1:6" ht="12.75">
      <c r="A16" s="6" t="s">
        <v>167</v>
      </c>
      <c r="B16" s="129">
        <f>323800+46750</f>
        <v>370550</v>
      </c>
      <c r="C16" s="124">
        <f>366850+65650</f>
        <v>432500</v>
      </c>
      <c r="D16" s="129">
        <f>465400+96050</f>
        <v>561450</v>
      </c>
      <c r="E16" s="124">
        <f t="shared" si="0"/>
        <v>1364500</v>
      </c>
      <c r="F16" s="130">
        <f t="shared" si="1"/>
        <v>1.7254660109359825</v>
      </c>
    </row>
    <row r="17" spans="1:6" ht="12.75">
      <c r="A17" s="6" t="s">
        <v>398</v>
      </c>
      <c r="B17" s="129"/>
      <c r="C17" s="124">
        <f>188</f>
        <v>188</v>
      </c>
      <c r="D17" s="129"/>
      <c r="E17" s="124">
        <f t="shared" si="0"/>
        <v>188</v>
      </c>
      <c r="F17" s="130">
        <f t="shared" si="1"/>
        <v>0.00023773368270865866</v>
      </c>
    </row>
    <row r="18" spans="1:6" ht="12.75">
      <c r="A18" s="6" t="s">
        <v>42</v>
      </c>
      <c r="B18" s="124">
        <f>83538+7989</f>
        <v>91527</v>
      </c>
      <c r="C18" s="124">
        <f>150859+11509</f>
        <v>162368</v>
      </c>
      <c r="D18" s="124">
        <f>208976+15567</f>
        <v>224543</v>
      </c>
      <c r="E18" s="124">
        <f t="shared" si="0"/>
        <v>478438</v>
      </c>
      <c r="F18" s="130">
        <f t="shared" si="1"/>
        <v>0.6050044025944958</v>
      </c>
    </row>
    <row r="19" spans="1:6" ht="12.75">
      <c r="A19" s="7" t="s">
        <v>43</v>
      </c>
      <c r="B19" s="129">
        <f>1150339+22616</f>
        <v>1172955</v>
      </c>
      <c r="C19" s="124">
        <f>477682+24673</f>
        <v>502355</v>
      </c>
      <c r="D19" s="129">
        <f>285446+21726</f>
        <v>307172</v>
      </c>
      <c r="E19" s="124">
        <f t="shared" si="0"/>
        <v>1982482</v>
      </c>
      <c r="F19" s="130">
        <f t="shared" si="1"/>
        <v>2.506929504061846</v>
      </c>
    </row>
    <row r="20" spans="1:6" ht="12.75">
      <c r="A20" s="7" t="s">
        <v>44</v>
      </c>
      <c r="B20" s="129">
        <f>235848+15124</f>
        <v>250972</v>
      </c>
      <c r="C20" s="124">
        <f>106155+10238</f>
        <v>116393</v>
      </c>
      <c r="D20" s="129">
        <f>90576+18954</f>
        <v>109530</v>
      </c>
      <c r="E20" s="124">
        <f t="shared" si="0"/>
        <v>476895</v>
      </c>
      <c r="F20" s="130">
        <f t="shared" si="1"/>
        <v>0.6030532160390731</v>
      </c>
    </row>
    <row r="21" spans="1:6" ht="12.75">
      <c r="A21" s="6" t="s">
        <v>410</v>
      </c>
      <c r="B21" s="129">
        <f>12000+3400</f>
        <v>15400</v>
      </c>
      <c r="C21" s="124">
        <f>13000+1000</f>
        <v>14000</v>
      </c>
      <c r="D21" s="129">
        <f>14220+1200</f>
        <v>15420</v>
      </c>
      <c r="E21" s="124">
        <f t="shared" si="0"/>
        <v>44820</v>
      </c>
      <c r="F21" s="130">
        <f t="shared" si="1"/>
        <v>0.0566767215904366</v>
      </c>
    </row>
    <row r="22" spans="1:6" ht="12.75">
      <c r="A22" s="7" t="s">
        <v>168</v>
      </c>
      <c r="B22" s="129">
        <f>209000+29500</f>
        <v>238500</v>
      </c>
      <c r="C22" s="124">
        <f>237535+40500</f>
        <v>278035</v>
      </c>
      <c r="D22" s="129">
        <f>291000+60500</f>
        <v>351500</v>
      </c>
      <c r="E22" s="124">
        <f t="shared" si="0"/>
        <v>868035</v>
      </c>
      <c r="F22" s="130">
        <f t="shared" si="1"/>
        <v>1.0976657301596304</v>
      </c>
    </row>
    <row r="23" spans="1:6" ht="12.75">
      <c r="A23" s="7" t="s">
        <v>45</v>
      </c>
      <c r="B23" s="129">
        <v>26805</v>
      </c>
      <c r="C23" s="124">
        <v>53481</v>
      </c>
      <c r="D23" s="129">
        <v>49028</v>
      </c>
      <c r="E23" s="124">
        <f t="shared" si="0"/>
        <v>129314</v>
      </c>
      <c r="F23" s="130">
        <f t="shared" si="1"/>
        <v>0.163522837477593</v>
      </c>
    </row>
    <row r="24" spans="1:6" ht="12.75">
      <c r="A24" s="7" t="s">
        <v>325</v>
      </c>
      <c r="B24" s="129">
        <v>7453</v>
      </c>
      <c r="C24" s="124">
        <v>14371</v>
      </c>
      <c r="D24" s="129">
        <v>442400</v>
      </c>
      <c r="E24" s="124">
        <f t="shared" si="0"/>
        <v>464224</v>
      </c>
      <c r="F24" s="130">
        <f t="shared" si="1"/>
        <v>0.5870302187326827</v>
      </c>
    </row>
    <row r="25" spans="1:6" ht="12.75">
      <c r="A25" s="7" t="s">
        <v>411</v>
      </c>
      <c r="B25" s="129">
        <v>20000</v>
      </c>
      <c r="C25" s="124">
        <v>375938.28</v>
      </c>
      <c r="D25" s="129">
        <v>64000</v>
      </c>
      <c r="E25" s="124">
        <f t="shared" si="0"/>
        <v>459938.28</v>
      </c>
      <c r="F25" s="130">
        <f t="shared" si="1"/>
        <v>0.5816107506547139</v>
      </c>
    </row>
    <row r="26" spans="1:6" ht="12.75">
      <c r="A26" s="7" t="s">
        <v>301</v>
      </c>
      <c r="B26" s="129">
        <v>1869030</v>
      </c>
      <c r="C26" s="124">
        <v>495196</v>
      </c>
      <c r="D26" s="129">
        <v>387950</v>
      </c>
      <c r="E26" s="124">
        <f t="shared" si="0"/>
        <v>2752176</v>
      </c>
      <c r="F26" s="130">
        <f t="shared" si="1"/>
        <v>3.480239020970135</v>
      </c>
    </row>
    <row r="27" spans="1:6" ht="12.75">
      <c r="A27" s="7" t="s">
        <v>370</v>
      </c>
      <c r="B27" s="129"/>
      <c r="C27" s="124">
        <v>160365</v>
      </c>
      <c r="D27" s="129">
        <v>43728</v>
      </c>
      <c r="E27" s="124">
        <f t="shared" si="0"/>
        <v>204093</v>
      </c>
      <c r="F27" s="130">
        <f t="shared" si="1"/>
        <v>0.2580839388566929</v>
      </c>
    </row>
    <row r="28" spans="1:7" ht="12.75">
      <c r="A28" s="7" t="s">
        <v>46</v>
      </c>
      <c r="B28" s="124">
        <v>1724885</v>
      </c>
      <c r="C28" s="124">
        <f>1371931-1326</f>
        <v>1370605</v>
      </c>
      <c r="D28" s="124">
        <v>1665496</v>
      </c>
      <c r="E28" s="124">
        <f t="shared" si="0"/>
        <v>4760986</v>
      </c>
      <c r="F28" s="130">
        <f t="shared" si="1"/>
        <v>6.0204613569381165</v>
      </c>
      <c r="G28" s="10" t="s">
        <v>23</v>
      </c>
    </row>
    <row r="29" spans="1:8" ht="12.75">
      <c r="A29" s="8" t="s">
        <v>211</v>
      </c>
      <c r="B29" s="136">
        <f>SUM(B9:B28)</f>
        <v>41918881</v>
      </c>
      <c r="C29" s="136">
        <f>SUM(C9:C28)</f>
        <v>19156684.28</v>
      </c>
      <c r="D29" s="136">
        <f>SUM(D9:D28)</f>
        <v>16836137.65</v>
      </c>
      <c r="E29" s="136">
        <f>SUM(E9:E28)</f>
        <v>77911702.93</v>
      </c>
      <c r="F29" s="137">
        <f>SUM(F9:F28)</f>
        <v>98.52253225346749</v>
      </c>
      <c r="H29" s="22"/>
    </row>
    <row r="30" spans="1:6" ht="12.75">
      <c r="A30" s="129"/>
      <c r="B30" s="138"/>
      <c r="C30" s="138"/>
      <c r="D30" s="94"/>
      <c r="E30" s="138"/>
      <c r="F30" s="139"/>
    </row>
    <row r="31" spans="1:6" ht="12.75">
      <c r="A31" s="8" t="s">
        <v>169</v>
      </c>
      <c r="B31" s="138"/>
      <c r="C31" s="138"/>
      <c r="D31" s="94"/>
      <c r="E31" s="138"/>
      <c r="F31" s="139"/>
    </row>
    <row r="32" spans="1:8" ht="12.75">
      <c r="A32" s="1" t="s">
        <v>47</v>
      </c>
      <c r="B32" s="138">
        <v>74875.51</v>
      </c>
      <c r="C32" s="138">
        <v>71679.76</v>
      </c>
      <c r="D32" s="138">
        <v>73216.67</v>
      </c>
      <c r="E32" s="138">
        <f aca="true" t="shared" si="2" ref="E32:E43">SUM(B32:D32)</f>
        <v>219771.94</v>
      </c>
      <c r="F32" s="139">
        <f aca="true" t="shared" si="3" ref="F32:F43">E32/$E$46*100</f>
        <v>0.27791059921397004</v>
      </c>
      <c r="H32" s="94"/>
    </row>
    <row r="33" spans="1:8" ht="12.75">
      <c r="A33" s="1" t="s">
        <v>267</v>
      </c>
      <c r="B33" s="138">
        <v>11032.52</v>
      </c>
      <c r="C33" s="138">
        <v>10714.5</v>
      </c>
      <c r="D33" s="138">
        <v>11065.83</v>
      </c>
      <c r="E33" s="138">
        <f t="shared" si="2"/>
        <v>32812.85</v>
      </c>
      <c r="F33" s="139">
        <f t="shared" si="3"/>
        <v>0.04149318973758941</v>
      </c>
      <c r="H33" s="94"/>
    </row>
    <row r="34" spans="1:8" ht="12.75">
      <c r="A34" s="1" t="s">
        <v>313</v>
      </c>
      <c r="B34" s="138">
        <v>3320.02</v>
      </c>
      <c r="C34" s="135">
        <v>3221.3</v>
      </c>
      <c r="D34" s="138">
        <v>3323.39</v>
      </c>
      <c r="E34" s="138">
        <f t="shared" si="2"/>
        <v>9864.71</v>
      </c>
      <c r="F34" s="139">
        <f t="shared" si="3"/>
        <v>0.012474328921026234</v>
      </c>
      <c r="H34" s="94"/>
    </row>
    <row r="35" spans="1:8" ht="12.75">
      <c r="A35" s="1" t="s">
        <v>388</v>
      </c>
      <c r="B35" s="138">
        <v>34198.22</v>
      </c>
      <c r="C35" s="135">
        <v>33212.32</v>
      </c>
      <c r="D35" s="138">
        <v>27000.98</v>
      </c>
      <c r="E35" s="138">
        <f t="shared" si="2"/>
        <v>94411.52</v>
      </c>
      <c r="F35" s="139">
        <f t="shared" si="3"/>
        <v>0.1193872252112882</v>
      </c>
      <c r="H35" s="94"/>
    </row>
    <row r="36" spans="1:8" ht="12.75">
      <c r="A36" s="1" t="s">
        <v>405</v>
      </c>
      <c r="B36" s="138">
        <v>348.78</v>
      </c>
      <c r="C36" s="135">
        <v>334.63</v>
      </c>
      <c r="D36" s="138">
        <v>340.76</v>
      </c>
      <c r="E36" s="138">
        <f t="shared" si="2"/>
        <v>1024.17</v>
      </c>
      <c r="F36" s="139">
        <f t="shared" si="3"/>
        <v>0.001295104818190037</v>
      </c>
      <c r="H36" s="94"/>
    </row>
    <row r="37" spans="1:8" ht="12.75">
      <c r="A37" s="1" t="s">
        <v>390</v>
      </c>
      <c r="B37" s="138">
        <v>50050.66</v>
      </c>
      <c r="C37" s="135">
        <v>48608.4</v>
      </c>
      <c r="D37" s="138">
        <v>44727.61</v>
      </c>
      <c r="E37" s="138">
        <f t="shared" si="2"/>
        <v>143386.66999999998</v>
      </c>
      <c r="F37" s="139">
        <f t="shared" si="3"/>
        <v>0.18131830377888905</v>
      </c>
      <c r="H37" s="94"/>
    </row>
    <row r="38" spans="1:8" ht="12.75">
      <c r="A38" s="1" t="s">
        <v>389</v>
      </c>
      <c r="B38" s="138">
        <v>4724.8</v>
      </c>
      <c r="C38" s="135">
        <v>4586.28</v>
      </c>
      <c r="D38" s="138">
        <v>4733.86</v>
      </c>
      <c r="E38" s="138">
        <f t="shared" si="2"/>
        <v>14044.939999999999</v>
      </c>
      <c r="F38" s="139">
        <f t="shared" si="3"/>
        <v>0.017760400583096532</v>
      </c>
      <c r="H38" s="94"/>
    </row>
    <row r="39" spans="1:8" ht="12.75">
      <c r="A39" s="1" t="s">
        <v>379</v>
      </c>
      <c r="B39" s="138">
        <v>2778.31</v>
      </c>
      <c r="C39" s="135">
        <v>5059.94</v>
      </c>
      <c r="D39" s="138">
        <v>4735.51</v>
      </c>
      <c r="E39" s="138">
        <f t="shared" si="2"/>
        <v>12573.76</v>
      </c>
      <c r="F39" s="139">
        <f t="shared" si="3"/>
        <v>0.01590003335263204</v>
      </c>
      <c r="H39" s="94"/>
    </row>
    <row r="40" spans="1:8" ht="12.75">
      <c r="A40" s="1" t="s">
        <v>430</v>
      </c>
      <c r="B40" s="138">
        <v>16449.72</v>
      </c>
      <c r="C40" s="135">
        <v>20667.83</v>
      </c>
      <c r="D40" s="138">
        <v>20986.51</v>
      </c>
      <c r="E40" s="138">
        <f t="shared" si="2"/>
        <v>58104.06</v>
      </c>
      <c r="F40" s="139">
        <f t="shared" si="3"/>
        <v>0.07347495831981311</v>
      </c>
      <c r="H40" s="94"/>
    </row>
    <row r="41" spans="1:8" ht="12.75">
      <c r="A41" s="1" t="s">
        <v>322</v>
      </c>
      <c r="B41" s="138">
        <v>47963.7</v>
      </c>
      <c r="C41" s="135">
        <v>46581.52</v>
      </c>
      <c r="D41" s="138">
        <v>48109.41</v>
      </c>
      <c r="E41" s="138">
        <f t="shared" si="2"/>
        <v>142654.63</v>
      </c>
      <c r="F41" s="139">
        <f t="shared" si="3"/>
        <v>0.18039260928372924</v>
      </c>
      <c r="H41" s="94"/>
    </row>
    <row r="42" spans="1:8" ht="12.75">
      <c r="A42" s="1" t="s">
        <v>328</v>
      </c>
      <c r="B42" s="138">
        <v>25747.34</v>
      </c>
      <c r="C42" s="135">
        <v>15224.15</v>
      </c>
      <c r="D42" s="138">
        <v>13322.36</v>
      </c>
      <c r="E42" s="138">
        <f t="shared" si="2"/>
        <v>54293.85</v>
      </c>
      <c r="F42" s="139">
        <f t="shared" si="3"/>
        <v>0.06865679206878461</v>
      </c>
      <c r="H42" s="94"/>
    </row>
    <row r="43" spans="1:8" ht="12.75">
      <c r="A43" s="1" t="s">
        <v>48</v>
      </c>
      <c r="B43" s="138">
        <f>76982.48+39004.59+52990.57+14.4+771.11+5895.43</f>
        <v>175658.57999999996</v>
      </c>
      <c r="C43" s="138">
        <f>70747.72+5555.55+13.5</f>
        <v>76316.77</v>
      </c>
      <c r="D43" s="138">
        <f>121398.65+6898.14+5167.52</f>
        <v>133464.31</v>
      </c>
      <c r="E43" s="138">
        <f t="shared" si="2"/>
        <v>385439.66</v>
      </c>
      <c r="F43" s="139">
        <f t="shared" si="3"/>
        <v>0.4874042012434748</v>
      </c>
      <c r="H43" s="94"/>
    </row>
    <row r="44" spans="1:8" ht="12.75">
      <c r="A44" s="8" t="s">
        <v>212</v>
      </c>
      <c r="B44" s="136">
        <f>SUM(B32:B43)</f>
        <v>447148.16</v>
      </c>
      <c r="C44" s="136">
        <f>SUM(C32:C43)</f>
        <v>336207.4</v>
      </c>
      <c r="D44" s="136">
        <f>SUM(D32:D43)</f>
        <v>385027.2</v>
      </c>
      <c r="E44" s="136">
        <f>SUM(E32:E43)</f>
        <v>1168382.7599999998</v>
      </c>
      <c r="F44" s="137">
        <f>SUM(F32:F43)</f>
        <v>1.4774677465324833</v>
      </c>
      <c r="H44" s="22"/>
    </row>
    <row r="45" spans="2:6" ht="9" customHeight="1">
      <c r="B45" s="138"/>
      <c r="C45" s="138"/>
      <c r="D45" s="138"/>
      <c r="E45" s="138"/>
      <c r="F45" s="140"/>
    </row>
    <row r="46" spans="1:6" ht="13.5" thickBot="1">
      <c r="A46" s="85" t="s">
        <v>49</v>
      </c>
      <c r="B46" s="141">
        <f>B29+B44</f>
        <v>42366029.16</v>
      </c>
      <c r="C46" s="141">
        <f>C29+C44</f>
        <v>19492891.68</v>
      </c>
      <c r="D46" s="141">
        <f>D29+D44</f>
        <v>17221164.849999998</v>
      </c>
      <c r="E46" s="141">
        <f>E29+E44</f>
        <v>79080085.69000001</v>
      </c>
      <c r="F46" s="142">
        <f>F29+F44</f>
        <v>99.99999999999997</v>
      </c>
    </row>
    <row r="47" spans="1:6" ht="13.5" thickTop="1">
      <c r="A47" s="85"/>
      <c r="B47" s="143"/>
      <c r="C47" s="143"/>
      <c r="D47" s="143"/>
      <c r="E47" s="143"/>
      <c r="F47" s="144"/>
    </row>
    <row r="48" spans="1:6" ht="12.75">
      <c r="A48" s="4"/>
      <c r="B48" s="143"/>
      <c r="C48" s="143"/>
      <c r="D48" s="143"/>
      <c r="E48" s="143"/>
      <c r="F48" s="144"/>
    </row>
    <row r="49" spans="1:6" ht="12.75">
      <c r="A49" s="79" t="s">
        <v>437</v>
      </c>
      <c r="B49" s="26"/>
      <c r="C49" s="26"/>
      <c r="D49" s="26"/>
      <c r="E49" s="26"/>
      <c r="F49" s="15"/>
    </row>
    <row r="50" spans="1:6" ht="3.75" customHeight="1">
      <c r="A50" s="8"/>
      <c r="B50" s="26"/>
      <c r="C50" s="26"/>
      <c r="D50" s="26"/>
      <c r="E50" s="26"/>
      <c r="F50" s="15"/>
    </row>
    <row r="51" spans="1:5" s="237" customFormat="1" ht="12">
      <c r="A51" s="79" t="s">
        <v>438</v>
      </c>
      <c r="B51" s="261"/>
      <c r="C51" s="261"/>
      <c r="D51" s="261"/>
      <c r="E51" s="261"/>
    </row>
    <row r="52" spans="2:7" ht="12.75">
      <c r="B52" s="27"/>
      <c r="C52" s="27"/>
      <c r="D52" s="27"/>
      <c r="E52" s="27"/>
      <c r="F52" s="21"/>
      <c r="G52" s="21"/>
    </row>
    <row r="54" spans="1:6" ht="12.75">
      <c r="A54" s="4"/>
      <c r="B54" s="26"/>
      <c r="C54" s="26"/>
      <c r="D54" s="26"/>
      <c r="E54" s="26"/>
      <c r="F54" s="15"/>
    </row>
    <row r="55" spans="1:6" ht="12.75">
      <c r="A55" s="4"/>
      <c r="B55" s="26"/>
      <c r="C55" s="26"/>
      <c r="D55" s="26"/>
      <c r="E55" s="26"/>
      <c r="F55" s="15"/>
    </row>
    <row r="56" spans="1:6" ht="12.75">
      <c r="A56" s="4"/>
      <c r="B56" s="26"/>
      <c r="C56" s="26"/>
      <c r="D56" s="26"/>
      <c r="E56" s="26"/>
      <c r="F56" s="15"/>
    </row>
    <row r="57" spans="1:6" ht="12.75">
      <c r="A57" s="4"/>
      <c r="B57" s="26"/>
      <c r="C57" s="26"/>
      <c r="D57" s="26"/>
      <c r="E57" s="26"/>
      <c r="F57" s="15"/>
    </row>
  </sheetData>
  <sheetProtection/>
  <mergeCells count="5">
    <mergeCell ref="A5:F5"/>
    <mergeCell ref="E1:F1"/>
    <mergeCell ref="A2:F2"/>
    <mergeCell ref="A3:F3"/>
    <mergeCell ref="A4:F4"/>
  </mergeCells>
  <printOptions/>
  <pageMargins left="0.8661417322834646" right="0.5905511811023623" top="0.7874015748031497" bottom="0.7874015748031497" header="0" footer="0"/>
  <pageSetup fitToHeight="1" fitToWidth="1" horizontalDpi="600" verticalDpi="600" orientation="portrait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K33" sqref="K33"/>
    </sheetView>
  </sheetViews>
  <sheetFormatPr defaultColWidth="11.421875" defaultRowHeight="12.75"/>
  <cols>
    <col min="1" max="1" width="33.8515625" style="1" customWidth="1"/>
    <col min="2" max="5" width="11.7109375" style="22" customWidth="1"/>
    <col min="6" max="6" width="6.57421875" style="1" customWidth="1"/>
    <col min="7" max="16384" width="11.421875" style="1" customWidth="1"/>
  </cols>
  <sheetData>
    <row r="1" spans="1:6" s="217" customFormat="1" ht="12.75">
      <c r="A1" s="214"/>
      <c r="B1" s="215"/>
      <c r="C1" s="215"/>
      <c r="D1" s="215"/>
      <c r="E1" s="289" t="s">
        <v>7</v>
      </c>
      <c r="F1" s="289"/>
    </row>
    <row r="2" spans="1:6" s="217" customFormat="1" ht="12.75">
      <c r="A2" s="288" t="s">
        <v>283</v>
      </c>
      <c r="B2" s="288"/>
      <c r="C2" s="288"/>
      <c r="D2" s="288"/>
      <c r="E2" s="288"/>
      <c r="F2" s="288"/>
    </row>
    <row r="3" spans="1:6" s="217" customFormat="1" ht="12.75">
      <c r="A3" s="290" t="s">
        <v>406</v>
      </c>
      <c r="B3" s="290"/>
      <c r="C3" s="290"/>
      <c r="D3" s="290"/>
      <c r="E3" s="290"/>
      <c r="F3" s="290"/>
    </row>
    <row r="4" spans="1:6" s="217" customFormat="1" ht="12.75">
      <c r="A4" s="288" t="s">
        <v>287</v>
      </c>
      <c r="B4" s="288"/>
      <c r="C4" s="288"/>
      <c r="D4" s="288"/>
      <c r="E4" s="288"/>
      <c r="F4" s="288"/>
    </row>
    <row r="5" spans="1:7" s="224" customFormat="1" ht="12.75">
      <c r="A5" s="287" t="s">
        <v>476</v>
      </c>
      <c r="B5" s="287"/>
      <c r="C5" s="287"/>
      <c r="D5" s="287"/>
      <c r="E5" s="287"/>
      <c r="F5" s="287"/>
      <c r="G5" s="223"/>
    </row>
    <row r="6" spans="1:6" ht="18.75" customHeight="1">
      <c r="A6" s="87"/>
      <c r="B6" s="87"/>
      <c r="C6" s="87"/>
      <c r="D6" s="87"/>
      <c r="E6" s="87"/>
      <c r="F6" s="87"/>
    </row>
    <row r="7" spans="1:6" ht="26.25" customHeight="1">
      <c r="A7" s="218" t="s">
        <v>19</v>
      </c>
      <c r="B7" s="219" t="s">
        <v>473</v>
      </c>
      <c r="C7" s="219" t="s">
        <v>474</v>
      </c>
      <c r="D7" s="219" t="s">
        <v>475</v>
      </c>
      <c r="E7" s="218" t="s">
        <v>20</v>
      </c>
      <c r="F7" s="220" t="s">
        <v>21</v>
      </c>
    </row>
    <row r="8" spans="1:6" ht="9" customHeight="1">
      <c r="A8" s="70"/>
      <c r="B8" s="70"/>
      <c r="C8" s="70"/>
      <c r="D8" s="70"/>
      <c r="E8" s="70"/>
      <c r="F8" s="2"/>
    </row>
    <row r="9" spans="1:6" ht="15" customHeight="1">
      <c r="A9" s="53" t="s">
        <v>277</v>
      </c>
      <c r="B9" s="129">
        <v>108530</v>
      </c>
      <c r="C9" s="145">
        <v>143030</v>
      </c>
      <c r="D9" s="129">
        <v>82330</v>
      </c>
      <c r="E9" s="124">
        <f>SUM(B9:D9)</f>
        <v>333890</v>
      </c>
      <c r="F9" s="130">
        <f>(E9/$E$14*100)</f>
        <v>1.5760409154552302</v>
      </c>
    </row>
    <row r="10" spans="1:6" ht="15" customHeight="1">
      <c r="A10" s="6" t="s">
        <v>50</v>
      </c>
      <c r="B10" s="124">
        <v>12313285</v>
      </c>
      <c r="C10" s="124">
        <v>4209519.7</v>
      </c>
      <c r="D10" s="124">
        <v>3855253</v>
      </c>
      <c r="E10" s="124">
        <f>SUM(B10:D10)</f>
        <v>20378057.7</v>
      </c>
      <c r="F10" s="130">
        <f>(E10/$E$14*100)</f>
        <v>96.18932197043188</v>
      </c>
    </row>
    <row r="11" spans="1:6" ht="15" customHeight="1">
      <c r="A11" s="6" t="s">
        <v>378</v>
      </c>
      <c r="B11" s="124">
        <v>152600</v>
      </c>
      <c r="C11" s="124">
        <v>243024</v>
      </c>
      <c r="D11" s="124">
        <v>33096</v>
      </c>
      <c r="E11" s="124">
        <f>SUM(B11:D11)</f>
        <v>428720</v>
      </c>
      <c r="F11" s="130">
        <f>(E11/$E$14*100)</f>
        <v>2.023661269501831</v>
      </c>
    </row>
    <row r="12" spans="1:6" ht="15" customHeight="1">
      <c r="A12" s="1" t="s">
        <v>51</v>
      </c>
      <c r="B12" s="124">
        <f>25382+2775</f>
        <v>28157</v>
      </c>
      <c r="C12" s="124">
        <f>8214+703</f>
        <v>8917</v>
      </c>
      <c r="D12" s="124">
        <f>6586+1036</f>
        <v>7622</v>
      </c>
      <c r="E12" s="124">
        <f>SUM(B12:D12)</f>
        <v>44696</v>
      </c>
      <c r="F12" s="130">
        <f>(E12/$E$14*100)</f>
        <v>0.21097584461106045</v>
      </c>
    </row>
    <row r="13" spans="2:6" ht="9" customHeight="1">
      <c r="B13" s="123"/>
      <c r="C13" s="123"/>
      <c r="D13" s="124"/>
      <c r="E13" s="124"/>
      <c r="F13" s="130"/>
    </row>
    <row r="14" spans="1:6" ht="12.75" customHeight="1" thickBot="1">
      <c r="A14" s="242" t="s">
        <v>165</v>
      </c>
      <c r="B14" s="146">
        <f>SUM(B9:B12)</f>
        <v>12602572</v>
      </c>
      <c r="C14" s="146">
        <f>SUM(C9:C12)</f>
        <v>4604490.7</v>
      </c>
      <c r="D14" s="146">
        <f>SUM(D9:D12)</f>
        <v>3978301</v>
      </c>
      <c r="E14" s="146">
        <f>SUM(E9:E12)</f>
        <v>21185363.7</v>
      </c>
      <c r="F14" s="146">
        <f>SUM(F9:F12)</f>
        <v>99.99999999999999</v>
      </c>
    </row>
    <row r="15" spans="2:6" ht="13.5" thickTop="1">
      <c r="B15" s="94"/>
      <c r="C15" s="94"/>
      <c r="D15" s="94"/>
      <c r="E15" s="94"/>
      <c r="F15" s="94"/>
    </row>
  </sheetData>
  <sheetProtection/>
  <mergeCells count="5">
    <mergeCell ref="A5:F5"/>
    <mergeCell ref="E1:F1"/>
    <mergeCell ref="A2:F2"/>
    <mergeCell ref="A3:F3"/>
    <mergeCell ref="A4:F4"/>
  </mergeCells>
  <printOptions/>
  <pageMargins left="0.8661417322834646" right="0.5905511811023623" top="0.7874015748031497" bottom="0.984251968503937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D38" sqref="D38"/>
    </sheetView>
  </sheetViews>
  <sheetFormatPr defaultColWidth="11.421875" defaultRowHeight="12.75"/>
  <cols>
    <col min="1" max="1" width="36.140625" style="16" customWidth="1"/>
    <col min="2" max="5" width="11.28125" style="28" customWidth="1"/>
    <col min="6" max="6" width="6.57421875" style="16" customWidth="1"/>
    <col min="7" max="7" width="2.7109375" style="16" customWidth="1"/>
    <col min="8" max="16384" width="11.421875" style="16" customWidth="1"/>
  </cols>
  <sheetData>
    <row r="1" spans="1:7" s="225" customFormat="1" ht="12.75">
      <c r="A1" s="214"/>
      <c r="B1" s="215"/>
      <c r="C1" s="215"/>
      <c r="D1" s="215"/>
      <c r="E1" s="289" t="s">
        <v>8</v>
      </c>
      <c r="F1" s="289"/>
      <c r="G1" s="217"/>
    </row>
    <row r="2" spans="1:7" s="225" customFormat="1" ht="12.75">
      <c r="A2" s="288" t="s">
        <v>283</v>
      </c>
      <c r="B2" s="288"/>
      <c r="C2" s="288"/>
      <c r="D2" s="288"/>
      <c r="E2" s="288"/>
      <c r="F2" s="288"/>
      <c r="G2" s="217"/>
    </row>
    <row r="3" spans="1:7" s="225" customFormat="1" ht="12.75">
      <c r="A3" s="290" t="s">
        <v>406</v>
      </c>
      <c r="B3" s="290"/>
      <c r="C3" s="290"/>
      <c r="D3" s="290"/>
      <c r="E3" s="290"/>
      <c r="F3" s="290"/>
      <c r="G3" s="217"/>
    </row>
    <row r="4" spans="1:7" s="225" customFormat="1" ht="12.75">
      <c r="A4" s="288" t="s">
        <v>288</v>
      </c>
      <c r="B4" s="288"/>
      <c r="C4" s="288"/>
      <c r="D4" s="288"/>
      <c r="E4" s="288"/>
      <c r="F4" s="288"/>
      <c r="G4" s="217"/>
    </row>
    <row r="5" spans="1:7" s="226" customFormat="1" ht="12.75">
      <c r="A5" s="287" t="s">
        <v>476</v>
      </c>
      <c r="B5" s="287"/>
      <c r="C5" s="287"/>
      <c r="D5" s="287"/>
      <c r="E5" s="287"/>
      <c r="F5" s="287"/>
      <c r="G5" s="223"/>
    </row>
    <row r="6" spans="2:7" ht="18.75" customHeight="1">
      <c r="B6" s="16"/>
      <c r="C6" s="16"/>
      <c r="D6" s="16"/>
      <c r="E6" s="16"/>
      <c r="G6" s="1"/>
    </row>
    <row r="7" spans="1:7" ht="26.25" customHeight="1">
      <c r="A7" s="218" t="s">
        <v>19</v>
      </c>
      <c r="B7" s="219" t="s">
        <v>473</v>
      </c>
      <c r="C7" s="219" t="s">
        <v>474</v>
      </c>
      <c r="D7" s="219" t="s">
        <v>475</v>
      </c>
      <c r="E7" s="218" t="s">
        <v>20</v>
      </c>
      <c r="F7" s="220" t="s">
        <v>21</v>
      </c>
      <c r="G7" s="1"/>
    </row>
    <row r="8" spans="1:7" ht="9" customHeight="1">
      <c r="A8" s="2"/>
      <c r="B8" s="23"/>
      <c r="C8" s="23"/>
      <c r="D8" s="23"/>
      <c r="E8" s="23"/>
      <c r="F8" s="2"/>
      <c r="G8" s="1"/>
    </row>
    <row r="9" spans="1:7" ht="14.25" customHeight="1">
      <c r="A9" s="1" t="s">
        <v>312</v>
      </c>
      <c r="B9" s="129"/>
      <c r="C9" s="124">
        <v>944963.89</v>
      </c>
      <c r="D9" s="129">
        <v>1206021.11</v>
      </c>
      <c r="E9" s="124">
        <f>SUM(B9:D9)</f>
        <v>2150985</v>
      </c>
      <c r="F9" s="130">
        <f>(E9/$E$15*100)</f>
        <v>26.467981135086216</v>
      </c>
      <c r="G9" s="10"/>
    </row>
    <row r="10" spans="1:6" ht="14.25" customHeight="1">
      <c r="A10" s="1" t="s">
        <v>52</v>
      </c>
      <c r="B10" s="129">
        <f>0.4+947003.32-72950</f>
        <v>874053.72</v>
      </c>
      <c r="C10" s="129">
        <f>0.81+1087683.27-65000+1000</f>
        <v>1023684.0800000001</v>
      </c>
      <c r="D10" s="129">
        <f>2263362.24-57000-500</f>
        <v>2205862.24</v>
      </c>
      <c r="E10" s="124">
        <f>SUM(B10:D10)</f>
        <v>4103600.04</v>
      </c>
      <c r="F10" s="130">
        <f>(E10/$E$15*100)</f>
        <v>50.49500970237312</v>
      </c>
    </row>
    <row r="11" spans="1:7" ht="14.25" customHeight="1">
      <c r="A11" s="1" t="s">
        <v>53</v>
      </c>
      <c r="B11" s="129">
        <v>72950</v>
      </c>
      <c r="C11" s="129">
        <f>353125+65000</f>
        <v>418125</v>
      </c>
      <c r="D11" s="129">
        <f>1282850+57000</f>
        <v>1339850</v>
      </c>
      <c r="E11" s="124">
        <f>SUM(B11:D11)</f>
        <v>1830925</v>
      </c>
      <c r="F11" s="130">
        <f>(E11/$E$15*100)</f>
        <v>22.529626361763437</v>
      </c>
      <c r="G11" s="10" t="s">
        <v>23</v>
      </c>
    </row>
    <row r="12" spans="1:7" ht="14.25" customHeight="1">
      <c r="A12" s="7" t="s">
        <v>54</v>
      </c>
      <c r="B12" s="129">
        <f>3800-250.89</f>
        <v>3549.11</v>
      </c>
      <c r="C12" s="129">
        <v>30750.46</v>
      </c>
      <c r="D12" s="129">
        <v>934.13</v>
      </c>
      <c r="E12" s="124">
        <f>SUM(B12:D12)</f>
        <v>35233.7</v>
      </c>
      <c r="F12" s="130">
        <f>(E12/$E$15*100)</f>
        <v>0.43355249196032847</v>
      </c>
      <c r="G12" s="10"/>
    </row>
    <row r="13" spans="1:6" ht="14.25" customHeight="1">
      <c r="A13" s="88" t="s">
        <v>527</v>
      </c>
      <c r="B13" s="129"/>
      <c r="C13" s="129"/>
      <c r="D13" s="129">
        <v>6000</v>
      </c>
      <c r="E13" s="124">
        <f>SUM(B13:D13)</f>
        <v>6000</v>
      </c>
      <c r="F13" s="130">
        <f>(E13/$E$15*100)</f>
        <v>0.0738303088168989</v>
      </c>
    </row>
    <row r="14" spans="1:7" ht="9" customHeight="1">
      <c r="A14" s="1"/>
      <c r="B14" s="123"/>
      <c r="C14" s="123"/>
      <c r="D14" s="133"/>
      <c r="E14" s="123"/>
      <c r="F14" s="125"/>
      <c r="G14" s="1"/>
    </row>
    <row r="15" spans="1:7" ht="13.5" thickBot="1">
      <c r="A15" s="242" t="s">
        <v>165</v>
      </c>
      <c r="B15" s="146">
        <f>SUM(B9:B13)</f>
        <v>950552.83</v>
      </c>
      <c r="C15" s="146">
        <f>SUM(C9:C13)</f>
        <v>2417523.43</v>
      </c>
      <c r="D15" s="146">
        <f>SUM(D9:D13)</f>
        <v>4758667.48</v>
      </c>
      <c r="E15" s="146">
        <f>SUM(E9:E13)</f>
        <v>8126743.74</v>
      </c>
      <c r="F15" s="147">
        <f>SUM(F9:F13)</f>
        <v>99.99999999999999</v>
      </c>
      <c r="G15" s="1"/>
    </row>
    <row r="16" spans="1:7" ht="13.5" thickTop="1">
      <c r="A16" s="1"/>
      <c r="B16" s="22"/>
      <c r="C16" s="22"/>
      <c r="D16" s="22"/>
      <c r="E16" s="22"/>
      <c r="F16" s="1"/>
      <c r="G16" s="1"/>
    </row>
    <row r="17" spans="1:7" ht="12.75">
      <c r="A17" s="1"/>
      <c r="B17" s="22"/>
      <c r="C17" s="129"/>
      <c r="D17" s="22"/>
      <c r="E17" s="22"/>
      <c r="F17" s="1"/>
      <c r="G17" s="1"/>
    </row>
    <row r="18" spans="1:7" ht="12.75">
      <c r="A18" s="1"/>
      <c r="B18" s="22"/>
      <c r="C18" s="22"/>
      <c r="E18" s="22"/>
      <c r="F18" s="1"/>
      <c r="G18" s="1"/>
    </row>
    <row r="23" spans="1:7" ht="12.75">
      <c r="A23" s="79" t="s">
        <v>55</v>
      </c>
      <c r="B23" s="22"/>
      <c r="C23" s="22"/>
      <c r="D23" s="22"/>
      <c r="E23" s="22"/>
      <c r="F23" s="1"/>
      <c r="G23" s="1"/>
    </row>
    <row r="24" spans="1:7" ht="5.25" customHeight="1">
      <c r="A24" s="1"/>
      <c r="B24" s="22"/>
      <c r="C24" s="22"/>
      <c r="D24" s="22"/>
      <c r="E24" s="22"/>
      <c r="F24" s="1"/>
      <c r="G24" s="1"/>
    </row>
    <row r="25" spans="1:7" s="251" customFormat="1" ht="12">
      <c r="A25" s="262" t="s">
        <v>439</v>
      </c>
      <c r="B25" s="263"/>
      <c r="C25" s="263"/>
      <c r="D25" s="263"/>
      <c r="E25" s="263"/>
      <c r="G25" s="263"/>
    </row>
    <row r="26" spans="1:7" ht="12.75">
      <c r="A26" s="77"/>
      <c r="B26" s="77"/>
      <c r="C26" s="77"/>
      <c r="D26" s="77"/>
      <c r="E26" s="77"/>
      <c r="F26" s="152"/>
      <c r="G26" s="77"/>
    </row>
    <row r="27" spans="1:7" ht="12.75">
      <c r="A27" s="77"/>
      <c r="B27" s="148"/>
      <c r="C27" s="148"/>
      <c r="D27" s="148"/>
      <c r="E27" s="148"/>
      <c r="F27" s="153"/>
      <c r="G27" s="80"/>
    </row>
    <row r="28" spans="1:7" ht="12.75">
      <c r="A28" s="77"/>
      <c r="B28" s="148"/>
      <c r="C28" s="148"/>
      <c r="D28" s="148"/>
      <c r="E28" s="148"/>
      <c r="F28" s="153"/>
      <c r="G28" s="80"/>
    </row>
    <row r="29" spans="1:7" ht="12.75">
      <c r="A29" s="77"/>
      <c r="B29" s="149"/>
      <c r="C29" s="149"/>
      <c r="D29" s="149"/>
      <c r="E29" s="149"/>
      <c r="F29" s="153"/>
      <c r="G29" s="150"/>
    </row>
    <row r="30" spans="1:7" ht="12.75">
      <c r="A30" s="77"/>
      <c r="B30" s="77"/>
      <c r="C30" s="77"/>
      <c r="D30" s="77"/>
      <c r="E30" s="77"/>
      <c r="F30" s="153"/>
      <c r="G30" s="77"/>
    </row>
    <row r="31" spans="2:7" ht="12.75">
      <c r="B31" s="77"/>
      <c r="C31" s="77"/>
      <c r="D31" s="77"/>
      <c r="E31" s="77"/>
      <c r="F31" s="153"/>
      <c r="G31" s="77"/>
    </row>
    <row r="32" spans="1:7" ht="12.75">
      <c r="A32" s="151"/>
      <c r="B32" s="149"/>
      <c r="C32" s="149"/>
      <c r="D32" s="149"/>
      <c r="E32" s="149"/>
      <c r="F32" s="153"/>
      <c r="G32" s="150"/>
    </row>
    <row r="33" spans="1:7" ht="12.75">
      <c r="A33" s="151"/>
      <c r="B33" s="149"/>
      <c r="C33" s="149"/>
      <c r="D33" s="149"/>
      <c r="E33" s="149"/>
      <c r="F33" s="152"/>
      <c r="G33" s="150"/>
    </row>
    <row r="34" spans="2:7" ht="12.75">
      <c r="B34" s="21"/>
      <c r="C34" s="21"/>
      <c r="D34" s="21"/>
      <c r="E34" s="21"/>
      <c r="F34" s="153"/>
      <c r="G34" s="21"/>
    </row>
    <row r="35" spans="2:7" ht="15" customHeight="1">
      <c r="B35" s="149"/>
      <c r="C35" s="149"/>
      <c r="D35" s="149"/>
      <c r="E35" s="149"/>
      <c r="F35" s="150"/>
      <c r="G35" s="150"/>
    </row>
    <row r="36" spans="1:7" ht="12.75">
      <c r="A36" s="20"/>
      <c r="B36" s="21"/>
      <c r="C36" s="21"/>
      <c r="D36" s="21"/>
      <c r="E36" s="21"/>
      <c r="F36" s="21"/>
      <c r="G36" s="21"/>
    </row>
    <row r="37" spans="1:7" ht="12.75">
      <c r="A37" s="150"/>
      <c r="B37" s="149"/>
      <c r="C37" s="149"/>
      <c r="D37" s="149"/>
      <c r="E37" s="149"/>
      <c r="F37" s="150"/>
      <c r="G37" s="150"/>
    </row>
  </sheetData>
  <sheetProtection/>
  <mergeCells count="5">
    <mergeCell ref="A5:F5"/>
    <mergeCell ref="E1:F1"/>
    <mergeCell ref="A2:F2"/>
    <mergeCell ref="A3:F3"/>
    <mergeCell ref="A4:F4"/>
  </mergeCells>
  <printOptions/>
  <pageMargins left="0.8661417322834646" right="0.5905511811023623" top="0.7874015748031497" bottom="0.8267716535433072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1">
      <selection activeCell="K27" sqref="K27"/>
    </sheetView>
  </sheetViews>
  <sheetFormatPr defaultColWidth="11.421875" defaultRowHeight="12.75"/>
  <cols>
    <col min="1" max="1" width="47.00390625" style="1" customWidth="1"/>
    <col min="2" max="4" width="11.7109375" style="22" customWidth="1"/>
    <col min="5" max="5" width="11.8515625" style="22" customWidth="1"/>
    <col min="6" max="6" width="6.8515625" style="1" customWidth="1"/>
    <col min="7" max="7" width="3.00390625" style="1" customWidth="1"/>
    <col min="8" max="8" width="4.28125" style="1" customWidth="1"/>
    <col min="9" max="16384" width="11.421875" style="1" customWidth="1"/>
  </cols>
  <sheetData>
    <row r="1" spans="1:6" s="217" customFormat="1" ht="12.75">
      <c r="A1" s="214"/>
      <c r="B1" s="215"/>
      <c r="C1" s="215"/>
      <c r="D1" s="215"/>
      <c r="E1" s="289" t="s">
        <v>126</v>
      </c>
      <c r="F1" s="289"/>
    </row>
    <row r="2" spans="1:6" s="217" customFormat="1" ht="12.75">
      <c r="A2" s="288" t="s">
        <v>283</v>
      </c>
      <c r="B2" s="288"/>
      <c r="C2" s="288"/>
      <c r="D2" s="288"/>
      <c r="E2" s="288"/>
      <c r="F2" s="288"/>
    </row>
    <row r="3" spans="1:6" s="217" customFormat="1" ht="12.75">
      <c r="A3" s="290" t="s">
        <v>406</v>
      </c>
      <c r="B3" s="290"/>
      <c r="C3" s="290"/>
      <c r="D3" s="290"/>
      <c r="E3" s="290"/>
      <c r="F3" s="290"/>
    </row>
    <row r="4" spans="1:6" s="217" customFormat="1" ht="12.75">
      <c r="A4" s="288" t="s">
        <v>289</v>
      </c>
      <c r="B4" s="288"/>
      <c r="C4" s="288"/>
      <c r="D4" s="288"/>
      <c r="E4" s="288"/>
      <c r="F4" s="288"/>
    </row>
    <row r="5" spans="1:7" s="224" customFormat="1" ht="12.75">
      <c r="A5" s="287" t="s">
        <v>476</v>
      </c>
      <c r="B5" s="287"/>
      <c r="C5" s="287"/>
      <c r="D5" s="287"/>
      <c r="E5" s="287"/>
      <c r="F5" s="287"/>
      <c r="G5" s="223"/>
    </row>
    <row r="6" spans="1:6" ht="18.75" customHeight="1">
      <c r="A6" s="16"/>
      <c r="B6" s="16"/>
      <c r="C6" s="16"/>
      <c r="D6" s="16"/>
      <c r="E6" s="16"/>
      <c r="F6" s="16"/>
    </row>
    <row r="7" spans="1:6" ht="26.25" customHeight="1">
      <c r="A7" s="218" t="s">
        <v>19</v>
      </c>
      <c r="B7" s="219" t="s">
        <v>473</v>
      </c>
      <c r="C7" s="219" t="s">
        <v>474</v>
      </c>
      <c r="D7" s="219" t="s">
        <v>475</v>
      </c>
      <c r="E7" s="218" t="s">
        <v>20</v>
      </c>
      <c r="F7" s="220" t="s">
        <v>21</v>
      </c>
    </row>
    <row r="8" spans="1:6" ht="9" customHeight="1">
      <c r="A8" s="2"/>
      <c r="B8" s="25"/>
      <c r="C8" s="25"/>
      <c r="D8" s="25"/>
      <c r="E8" s="23"/>
      <c r="F8" s="2"/>
    </row>
    <row r="9" spans="1:8" ht="15" customHeight="1">
      <c r="A9" s="1" t="s">
        <v>507</v>
      </c>
      <c r="B9" s="124"/>
      <c r="C9" s="124"/>
      <c r="D9" s="124">
        <v>872850</v>
      </c>
      <c r="E9" s="124">
        <f aca="true" t="shared" si="0" ref="E9:E15">SUM(B9:D9)</f>
        <v>872850</v>
      </c>
      <c r="F9" s="130">
        <f aca="true" t="shared" si="1" ref="F9:F15">(E9/$E$17*100)</f>
        <v>47.6726244930841</v>
      </c>
      <c r="G9" s="10" t="s">
        <v>23</v>
      </c>
      <c r="H9" s="14"/>
    </row>
    <row r="10" spans="1:8" ht="15" customHeight="1">
      <c r="A10" s="1" t="s">
        <v>508</v>
      </c>
      <c r="B10" s="124"/>
      <c r="C10" s="124"/>
      <c r="D10" s="124">
        <v>410000</v>
      </c>
      <c r="E10" s="124">
        <f t="shared" si="0"/>
        <v>410000</v>
      </c>
      <c r="F10" s="130">
        <f t="shared" si="1"/>
        <v>22.39305269194533</v>
      </c>
      <c r="G10" s="10" t="s">
        <v>24</v>
      </c>
      <c r="H10" s="14"/>
    </row>
    <row r="11" spans="1:8" ht="15" customHeight="1">
      <c r="A11" s="43" t="s">
        <v>440</v>
      </c>
      <c r="B11" s="124"/>
      <c r="C11" s="124">
        <v>50000</v>
      </c>
      <c r="D11" s="124"/>
      <c r="E11" s="124">
        <f t="shared" si="0"/>
        <v>50000</v>
      </c>
      <c r="F11" s="130">
        <f t="shared" si="1"/>
        <v>2.730860084383577</v>
      </c>
      <c r="G11" s="10" t="s">
        <v>27</v>
      </c>
      <c r="H11" s="14"/>
    </row>
    <row r="12" spans="1:8" ht="15" customHeight="1">
      <c r="A12" s="43" t="s">
        <v>441</v>
      </c>
      <c r="B12" s="124"/>
      <c r="C12" s="124">
        <v>75000</v>
      </c>
      <c r="D12" s="124"/>
      <c r="E12" s="124">
        <f t="shared" si="0"/>
        <v>75000</v>
      </c>
      <c r="F12" s="130">
        <f t="shared" si="1"/>
        <v>4.096290126575365</v>
      </c>
      <c r="G12" s="10" t="s">
        <v>241</v>
      </c>
      <c r="H12" s="14"/>
    </row>
    <row r="13" spans="1:8" ht="15" customHeight="1">
      <c r="A13" s="7" t="s">
        <v>431</v>
      </c>
      <c r="B13" s="124"/>
      <c r="C13" s="124">
        <v>188125</v>
      </c>
      <c r="D13" s="124"/>
      <c r="E13" s="124">
        <f t="shared" si="0"/>
        <v>188125</v>
      </c>
      <c r="F13" s="130">
        <f t="shared" si="1"/>
        <v>10.274861067493207</v>
      </c>
      <c r="G13" s="10" t="s">
        <v>242</v>
      </c>
      <c r="H13" s="14"/>
    </row>
    <row r="14" spans="1:8" ht="15" customHeight="1">
      <c r="A14" s="7" t="s">
        <v>412</v>
      </c>
      <c r="B14" s="124"/>
      <c r="C14" s="124">
        <v>40000</v>
      </c>
      <c r="D14" s="124"/>
      <c r="E14" s="124">
        <f t="shared" si="0"/>
        <v>40000</v>
      </c>
      <c r="F14" s="130">
        <f t="shared" si="1"/>
        <v>2.184688067506861</v>
      </c>
      <c r="G14" s="10" t="s">
        <v>332</v>
      </c>
      <c r="H14" s="14"/>
    </row>
    <row r="15" spans="1:7" ht="15" customHeight="1">
      <c r="A15" s="7" t="s">
        <v>432</v>
      </c>
      <c r="B15" s="124">
        <v>72950</v>
      </c>
      <c r="C15" s="124">
        <v>65000</v>
      </c>
      <c r="D15" s="129">
        <v>57000</v>
      </c>
      <c r="E15" s="124">
        <f t="shared" si="0"/>
        <v>194950</v>
      </c>
      <c r="F15" s="130">
        <f t="shared" si="1"/>
        <v>10.647623469011565</v>
      </c>
      <c r="G15" s="10" t="s">
        <v>428</v>
      </c>
    </row>
    <row r="16" spans="2:7" ht="9" customHeight="1">
      <c r="B16" s="154"/>
      <c r="C16" s="154"/>
      <c r="D16" s="154"/>
      <c r="E16" s="124"/>
      <c r="F16" s="130"/>
      <c r="G16" s="12"/>
    </row>
    <row r="17" spans="1:7" ht="13.5" thickBot="1">
      <c r="A17" s="242" t="s">
        <v>165</v>
      </c>
      <c r="B17" s="146">
        <f>SUM(B9:B15)</f>
        <v>72950</v>
      </c>
      <c r="C17" s="146">
        <f>SUM(C9:C15)</f>
        <v>418125</v>
      </c>
      <c r="D17" s="146">
        <f>SUM(D9:D15)</f>
        <v>1339850</v>
      </c>
      <c r="E17" s="146">
        <f>SUM(E9:E15)</f>
        <v>1830925</v>
      </c>
      <c r="F17" s="146">
        <f>SUM(F9:F15)</f>
        <v>100</v>
      </c>
      <c r="G17" s="9"/>
    </row>
    <row r="18" spans="2:7" ht="13.5" thickTop="1">
      <c r="B18" s="54"/>
      <c r="C18" s="54"/>
      <c r="D18" s="54"/>
      <c r="E18" s="54"/>
      <c r="F18" s="54"/>
      <c r="G18" s="9"/>
    </row>
    <row r="19" spans="1:6" ht="12.75">
      <c r="A19" s="2"/>
      <c r="B19" s="54"/>
      <c r="C19" s="54"/>
      <c r="D19" s="54"/>
      <c r="E19" s="54"/>
      <c r="F19" s="54"/>
    </row>
    <row r="20" spans="1:7" ht="12.75">
      <c r="A20" s="2"/>
      <c r="B20" s="54"/>
      <c r="C20" s="54"/>
      <c r="D20" s="54"/>
      <c r="E20" s="54"/>
      <c r="F20" s="54"/>
      <c r="G20" s="9"/>
    </row>
    <row r="21" spans="1:7" ht="12.75">
      <c r="A21" s="2"/>
      <c r="B21" s="54"/>
      <c r="C21" s="54"/>
      <c r="D21" s="54"/>
      <c r="E21" s="54"/>
      <c r="F21" s="54"/>
      <c r="G21" s="9"/>
    </row>
    <row r="22" spans="1:6" ht="12.75">
      <c r="A22" s="16"/>
      <c r="B22" s="54"/>
      <c r="C22" s="54"/>
      <c r="D22" s="54"/>
      <c r="E22" s="54"/>
      <c r="F22" s="15"/>
    </row>
    <row r="23" spans="1:6" ht="12.75">
      <c r="A23" s="61"/>
      <c r="B23" s="54"/>
      <c r="C23" s="54"/>
      <c r="D23" s="54"/>
      <c r="E23" s="54"/>
      <c r="F23" s="15"/>
    </row>
    <row r="24" spans="1:6" ht="12.75">
      <c r="A24" s="79" t="s">
        <v>29</v>
      </c>
      <c r="B24" s="54"/>
      <c r="C24" s="54"/>
      <c r="D24" s="54"/>
      <c r="E24" s="54"/>
      <c r="F24" s="15"/>
    </row>
    <row r="25" spans="1:6" ht="7.5" customHeight="1">
      <c r="A25" s="12"/>
      <c r="B25" s="54"/>
      <c r="C25" s="54"/>
      <c r="D25" s="54"/>
      <c r="E25" s="54"/>
      <c r="F25" s="15"/>
    </row>
    <row r="26" spans="1:5" ht="12.75">
      <c r="A26" s="12" t="s">
        <v>525</v>
      </c>
      <c r="B26" s="54"/>
      <c r="C26" s="54"/>
      <c r="D26" s="54"/>
      <c r="E26" s="153"/>
    </row>
    <row r="27" spans="1:5" ht="12.75">
      <c r="A27" s="55" t="s">
        <v>524</v>
      </c>
      <c r="B27" s="54"/>
      <c r="C27" s="54"/>
      <c r="D27" s="54"/>
      <c r="E27" s="153">
        <v>872850</v>
      </c>
    </row>
    <row r="28" spans="1:5" ht="12.75">
      <c r="A28" s="55"/>
      <c r="B28" s="1"/>
      <c r="C28" s="54"/>
      <c r="D28" s="54"/>
      <c r="E28" s="153"/>
    </row>
    <row r="29" spans="1:5" ht="12.75">
      <c r="A29" s="12" t="s">
        <v>528</v>
      </c>
      <c r="B29" s="1"/>
      <c r="C29" s="54"/>
      <c r="D29" s="54"/>
      <c r="E29" s="153">
        <v>245000</v>
      </c>
    </row>
    <row r="30" spans="1:5" ht="5.25" customHeight="1">
      <c r="A30" s="12"/>
      <c r="B30" s="1"/>
      <c r="C30" s="54"/>
      <c r="D30" s="54"/>
      <c r="E30" s="153"/>
    </row>
    <row r="31" spans="1:5" ht="12.75">
      <c r="A31" s="55" t="s">
        <v>523</v>
      </c>
      <c r="B31" s="1"/>
      <c r="C31" s="54"/>
      <c r="D31" s="54"/>
      <c r="E31" s="153"/>
    </row>
    <row r="32" spans="1:5" ht="12.75">
      <c r="A32" s="55" t="s">
        <v>522</v>
      </c>
      <c r="B32" s="1"/>
      <c r="C32" s="54"/>
      <c r="D32" s="54"/>
      <c r="E32" s="153">
        <v>165000</v>
      </c>
    </row>
    <row r="33" spans="2:5" ht="12.75">
      <c r="B33" s="1"/>
      <c r="C33" s="54"/>
      <c r="D33" s="54"/>
      <c r="E33" s="153"/>
    </row>
    <row r="34" spans="1:5" ht="12.75">
      <c r="A34" s="12" t="s">
        <v>529</v>
      </c>
      <c r="B34" s="54"/>
      <c r="C34" s="54"/>
      <c r="D34" s="54"/>
      <c r="E34" s="1"/>
    </row>
    <row r="35" spans="1:5" ht="12.75">
      <c r="A35" s="11" t="s">
        <v>442</v>
      </c>
      <c r="B35" s="1"/>
      <c r="C35" s="54"/>
      <c r="D35" s="54"/>
      <c r="E35" s="153">
        <v>50000</v>
      </c>
    </row>
    <row r="36" spans="1:5" ht="12.75">
      <c r="A36" s="11"/>
      <c r="B36" s="1"/>
      <c r="C36" s="54"/>
      <c r="D36" s="54"/>
      <c r="E36" s="153"/>
    </row>
    <row r="37" spans="1:5" ht="12.75">
      <c r="A37" s="11" t="s">
        <v>509</v>
      </c>
      <c r="B37" s="54"/>
      <c r="C37" s="54"/>
      <c r="D37" s="54"/>
      <c r="E37" s="153"/>
    </row>
    <row r="38" spans="1:5" ht="12.75">
      <c r="A38" s="11" t="s">
        <v>443</v>
      </c>
      <c r="B38" s="54"/>
      <c r="C38" s="54"/>
      <c r="D38" s="54"/>
      <c r="E38" s="153">
        <v>75000</v>
      </c>
    </row>
    <row r="39" spans="1:5" ht="12.75">
      <c r="A39" s="36"/>
      <c r="B39" s="54"/>
      <c r="C39" s="54"/>
      <c r="D39" s="54"/>
      <c r="E39" s="153"/>
    </row>
    <row r="40" spans="1:5" ht="12.75" customHeight="1">
      <c r="A40" s="12" t="s">
        <v>530</v>
      </c>
      <c r="C40" s="54"/>
      <c r="D40" s="54"/>
      <c r="E40" s="153">
        <v>188125</v>
      </c>
    </row>
    <row r="41" spans="1:5" ht="12.75" customHeight="1">
      <c r="A41" s="55"/>
      <c r="C41" s="54"/>
      <c r="D41" s="54"/>
      <c r="E41" s="153"/>
    </row>
    <row r="42" spans="1:5" ht="12.75" customHeight="1">
      <c r="A42" s="12" t="s">
        <v>511</v>
      </c>
      <c r="B42" s="54"/>
      <c r="C42" s="54"/>
      <c r="D42" s="54"/>
      <c r="E42" s="153">
        <v>40000</v>
      </c>
    </row>
    <row r="43" spans="2:5" ht="12.75" customHeight="1">
      <c r="B43" s="54"/>
      <c r="C43" s="54"/>
      <c r="D43" s="54"/>
      <c r="E43" s="1"/>
    </row>
    <row r="44" spans="1:5" ht="12.75" customHeight="1">
      <c r="A44" s="12" t="s">
        <v>510</v>
      </c>
      <c r="B44" s="54"/>
      <c r="C44" s="54"/>
      <c r="D44" s="54"/>
      <c r="E44" s="153"/>
    </row>
    <row r="45" spans="1:5" ht="12.75" customHeight="1">
      <c r="A45" s="55" t="s">
        <v>512</v>
      </c>
      <c r="B45" s="54"/>
      <c r="C45" s="54"/>
      <c r="D45" s="54"/>
      <c r="E45" s="153"/>
    </row>
    <row r="46" spans="1:5" ht="12.75" customHeight="1">
      <c r="A46" s="55" t="s">
        <v>513</v>
      </c>
      <c r="B46" s="54"/>
      <c r="C46" s="54"/>
      <c r="D46" s="54"/>
      <c r="E46" s="153">
        <f>72950+65000+57000</f>
        <v>194950</v>
      </c>
    </row>
    <row r="47" spans="1:5" ht="8.25" customHeight="1">
      <c r="A47" s="55"/>
      <c r="B47" s="54"/>
      <c r="C47" s="54"/>
      <c r="D47" s="54"/>
      <c r="E47" s="153"/>
    </row>
    <row r="48" spans="2:5" ht="12.75" customHeight="1" thickBot="1">
      <c r="B48" s="54"/>
      <c r="C48" s="54"/>
      <c r="D48" s="54"/>
      <c r="E48" s="280">
        <f>SUM(E26:E47)</f>
        <v>1830925</v>
      </c>
    </row>
    <row r="49" spans="2:5" ht="12.75" customHeight="1" thickTop="1">
      <c r="B49" s="54"/>
      <c r="C49" s="54"/>
      <c r="D49" s="54"/>
      <c r="E49" s="1"/>
    </row>
    <row r="50" spans="2:5" ht="12" customHeight="1">
      <c r="B50" s="54"/>
      <c r="C50" s="54"/>
      <c r="D50" s="54"/>
      <c r="E50" s="1"/>
    </row>
    <row r="51" spans="1:5" ht="6.75" customHeight="1">
      <c r="A51" s="55"/>
      <c r="B51" s="54"/>
      <c r="C51" s="54"/>
      <c r="D51" s="54"/>
      <c r="E51" s="153"/>
    </row>
    <row r="52" spans="1:4" ht="12.75">
      <c r="A52" s="55"/>
      <c r="B52" s="54"/>
      <c r="C52" s="54"/>
      <c r="D52" s="54"/>
    </row>
    <row r="53" spans="1:5" ht="12.75">
      <c r="A53" s="12"/>
      <c r="B53" s="54"/>
      <c r="C53" s="54"/>
      <c r="D53" s="54"/>
      <c r="E53" s="54"/>
    </row>
    <row r="54" spans="1:6" ht="12.75">
      <c r="A54" s="55"/>
      <c r="B54" s="54"/>
      <c r="C54" s="54"/>
      <c r="D54" s="54"/>
      <c r="E54" s="54"/>
      <c r="F54" s="15"/>
    </row>
    <row r="55" spans="1:6" ht="12.75">
      <c r="A55" s="12"/>
      <c r="B55" s="54"/>
      <c r="C55" s="54"/>
      <c r="D55" s="54"/>
      <c r="E55" s="54"/>
      <c r="F55" s="15"/>
    </row>
    <row r="56" spans="1:6" ht="12.75">
      <c r="A56" s="12"/>
      <c r="B56" s="54"/>
      <c r="C56" s="54"/>
      <c r="D56" s="54"/>
      <c r="E56" s="54"/>
      <c r="F56" s="15"/>
    </row>
    <row r="57" spans="1:6" ht="12.75">
      <c r="A57" s="12"/>
      <c r="B57" s="54"/>
      <c r="C57" s="54"/>
      <c r="D57" s="54"/>
      <c r="E57" s="54"/>
      <c r="F57" s="15"/>
    </row>
    <row r="58" spans="1:6" ht="12.75">
      <c r="A58" s="55"/>
      <c r="B58" s="54"/>
      <c r="C58" s="54"/>
      <c r="D58" s="54"/>
      <c r="E58" s="54"/>
      <c r="F58" s="15"/>
    </row>
    <row r="59" spans="1:6" ht="12" customHeight="1">
      <c r="A59" s="55"/>
      <c r="B59" s="54"/>
      <c r="C59" s="54"/>
      <c r="D59" s="54"/>
      <c r="E59" s="54"/>
      <c r="F59" s="15"/>
    </row>
    <row r="60" spans="1:7" ht="12.75">
      <c r="A60" s="36"/>
      <c r="B60" s="56"/>
      <c r="C60" s="56"/>
      <c r="D60" s="56"/>
      <c r="E60" s="56"/>
      <c r="F60" s="57"/>
      <c r="G60" s="58"/>
    </row>
    <row r="61" spans="1:7" ht="12.75">
      <c r="A61" s="12"/>
      <c r="B61" s="56"/>
      <c r="C61" s="56"/>
      <c r="D61" s="56"/>
      <c r="E61" s="56"/>
      <c r="F61" s="57"/>
      <c r="G61" s="58"/>
    </row>
    <row r="62" spans="1:7" ht="12.75">
      <c r="A62" s="36"/>
      <c r="B62" s="56"/>
      <c r="C62" s="56"/>
      <c r="D62" s="56"/>
      <c r="E62" s="56"/>
      <c r="F62" s="57"/>
      <c r="G62" s="58"/>
    </row>
    <row r="63" spans="1:7" ht="12.75">
      <c r="A63" s="12"/>
      <c r="B63" s="56"/>
      <c r="C63" s="56"/>
      <c r="D63" s="56"/>
      <c r="E63" s="56"/>
      <c r="F63" s="57"/>
      <c r="G63" s="58"/>
    </row>
    <row r="64" spans="1:7" ht="12.75">
      <c r="A64" s="12"/>
      <c r="B64" s="56"/>
      <c r="C64" s="56"/>
      <c r="D64" s="56"/>
      <c r="E64" s="56"/>
      <c r="F64" s="57"/>
      <c r="G64" s="58"/>
    </row>
    <row r="65" spans="1:7" ht="12.75">
      <c r="A65" s="12"/>
      <c r="B65" s="56"/>
      <c r="C65" s="56"/>
      <c r="D65" s="56"/>
      <c r="E65" s="56"/>
      <c r="F65" s="57"/>
      <c r="G65" s="58"/>
    </row>
    <row r="66" spans="1:7" ht="12.75">
      <c r="A66" s="12"/>
      <c r="B66" s="56"/>
      <c r="C66" s="56"/>
      <c r="D66" s="56"/>
      <c r="E66" s="56"/>
      <c r="F66" s="57"/>
      <c r="G66" s="58"/>
    </row>
    <row r="67" spans="1:7" ht="12.75">
      <c r="A67" s="12"/>
      <c r="B67" s="56"/>
      <c r="C67" s="56"/>
      <c r="D67" s="56"/>
      <c r="E67" s="56"/>
      <c r="F67" s="57"/>
      <c r="G67" s="58"/>
    </row>
    <row r="68" spans="1:7" ht="12.75">
      <c r="A68" s="12"/>
      <c r="B68" s="56"/>
      <c r="C68" s="56"/>
      <c r="D68" s="56"/>
      <c r="E68" s="56"/>
      <c r="F68" s="57"/>
      <c r="G68" s="58"/>
    </row>
    <row r="69" spans="1:7" ht="12.75">
      <c r="A69" s="12"/>
      <c r="B69" s="56"/>
      <c r="C69" s="56"/>
      <c r="D69" s="56"/>
      <c r="E69" s="56"/>
      <c r="F69" s="57"/>
      <c r="G69" s="58"/>
    </row>
    <row r="70" spans="1:7" ht="12.75">
      <c r="A70" s="12"/>
      <c r="B70" s="56"/>
      <c r="C70" s="56"/>
      <c r="D70" s="56"/>
      <c r="E70" s="56"/>
      <c r="F70" s="57"/>
      <c r="G70" s="58"/>
    </row>
    <row r="71" spans="1:7" ht="12.75">
      <c r="A71" s="12"/>
      <c r="B71" s="56"/>
      <c r="C71" s="56"/>
      <c r="D71" s="56"/>
      <c r="E71" s="56"/>
      <c r="F71" s="57"/>
      <c r="G71" s="58"/>
    </row>
    <row r="72" spans="1:7" ht="12.75">
      <c r="A72" s="12"/>
      <c r="B72" s="56"/>
      <c r="C72" s="56"/>
      <c r="D72" s="56"/>
      <c r="E72" s="56"/>
      <c r="F72" s="57"/>
      <c r="G72" s="58"/>
    </row>
    <row r="73" spans="1:7" ht="12.75">
      <c r="A73" s="12"/>
      <c r="B73" s="56"/>
      <c r="C73" s="56"/>
      <c r="D73" s="56"/>
      <c r="E73" s="56"/>
      <c r="F73" s="57"/>
      <c r="G73" s="58"/>
    </row>
    <row r="74" spans="1:7" ht="12.75">
      <c r="A74" s="12"/>
      <c r="B74" s="56"/>
      <c r="C74" s="56"/>
      <c r="D74" s="56"/>
      <c r="E74" s="56"/>
      <c r="F74" s="57"/>
      <c r="G74" s="58"/>
    </row>
    <row r="75" spans="1:7" ht="12.75">
      <c r="A75" s="12"/>
      <c r="B75" s="56"/>
      <c r="C75" s="56"/>
      <c r="D75" s="56"/>
      <c r="E75" s="56"/>
      <c r="F75" s="57"/>
      <c r="G75" s="58"/>
    </row>
    <row r="76" spans="1:7" ht="12.75">
      <c r="A76" s="12"/>
      <c r="B76" s="56"/>
      <c r="C76" s="56"/>
      <c r="D76" s="56"/>
      <c r="E76" s="56"/>
      <c r="F76" s="57"/>
      <c r="G76" s="58"/>
    </row>
    <row r="77" spans="1:6" ht="12.75">
      <c r="A77" s="59"/>
      <c r="B77" s="60"/>
      <c r="C77" s="60"/>
      <c r="D77" s="60"/>
      <c r="E77" s="60"/>
      <c r="F77" s="59"/>
    </row>
    <row r="78" spans="1:6" ht="12.75">
      <c r="A78" s="59"/>
      <c r="B78" s="60"/>
      <c r="C78" s="60"/>
      <c r="D78" s="60"/>
      <c r="E78" s="60"/>
      <c r="F78" s="59"/>
    </row>
    <row r="79" spans="1:6" ht="12.75">
      <c r="A79" s="59"/>
      <c r="B79" s="60"/>
      <c r="C79" s="60"/>
      <c r="D79" s="60"/>
      <c r="E79" s="60"/>
      <c r="F79" s="59"/>
    </row>
  </sheetData>
  <sheetProtection/>
  <mergeCells count="5">
    <mergeCell ref="A5:F5"/>
    <mergeCell ref="E1:F1"/>
    <mergeCell ref="A2:F2"/>
    <mergeCell ref="A3:F3"/>
    <mergeCell ref="A4:F4"/>
  </mergeCells>
  <printOptions/>
  <pageMargins left="0.8661417322834646" right="0.5511811023622047" top="0.7874015748031497" bottom="0.984251968503937" header="0" footer="0"/>
  <pageSetup horizontalDpi="600" verticalDpi="6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3"/>
  <sheetViews>
    <sheetView zoomScalePageLayoutView="0" workbookViewId="0" topLeftCell="A1">
      <selection activeCell="K82" sqref="K82"/>
    </sheetView>
  </sheetViews>
  <sheetFormatPr defaultColWidth="13.421875" defaultRowHeight="12.75"/>
  <cols>
    <col min="1" max="1" width="41.7109375" style="1" customWidth="1"/>
    <col min="2" max="5" width="12.57421875" style="22" customWidth="1"/>
    <col min="6" max="6" width="6.57421875" style="270" customWidth="1"/>
    <col min="7" max="7" width="2.8515625" style="1" customWidth="1"/>
    <col min="8" max="8" width="14.421875" style="1" bestFit="1" customWidth="1"/>
    <col min="9" max="16384" width="13.421875" style="1" customWidth="1"/>
  </cols>
  <sheetData>
    <row r="1" spans="1:6" s="217" customFormat="1" ht="12.75" customHeight="1">
      <c r="A1" s="214"/>
      <c r="B1" s="215"/>
      <c r="C1" s="215"/>
      <c r="D1" s="215"/>
      <c r="E1" s="289" t="s">
        <v>10</v>
      </c>
      <c r="F1" s="289"/>
    </row>
    <row r="2" spans="1:6" s="217" customFormat="1" ht="12.75">
      <c r="A2" s="288" t="s">
        <v>283</v>
      </c>
      <c r="B2" s="288"/>
      <c r="C2" s="288"/>
      <c r="D2" s="288"/>
      <c r="E2" s="288"/>
      <c r="F2" s="288"/>
    </row>
    <row r="3" spans="1:6" s="217" customFormat="1" ht="12.75">
      <c r="A3" s="290" t="s">
        <v>406</v>
      </c>
      <c r="B3" s="290"/>
      <c r="C3" s="290"/>
      <c r="D3" s="290"/>
      <c r="E3" s="290"/>
      <c r="F3" s="290"/>
    </row>
    <row r="4" spans="1:6" s="217" customFormat="1" ht="12.75">
      <c r="A4" s="288" t="s">
        <v>290</v>
      </c>
      <c r="B4" s="288"/>
      <c r="C4" s="288"/>
      <c r="D4" s="288"/>
      <c r="E4" s="288"/>
      <c r="F4" s="288"/>
    </row>
    <row r="5" spans="1:7" s="224" customFormat="1" ht="12.75">
      <c r="A5" s="287" t="s">
        <v>476</v>
      </c>
      <c r="B5" s="287"/>
      <c r="C5" s="287"/>
      <c r="D5" s="287"/>
      <c r="E5" s="287"/>
      <c r="F5" s="287"/>
      <c r="G5" s="223"/>
    </row>
    <row r="6" spans="1:6" ht="18.75" customHeight="1">
      <c r="A6" s="16"/>
      <c r="B6" s="16"/>
      <c r="C6" s="16"/>
      <c r="D6" s="16"/>
      <c r="E6" s="16"/>
      <c r="F6" s="252"/>
    </row>
    <row r="7" spans="1:6" ht="26.25" customHeight="1">
      <c r="A7" s="218" t="s">
        <v>19</v>
      </c>
      <c r="B7" s="219" t="s">
        <v>473</v>
      </c>
      <c r="C7" s="219" t="s">
        <v>474</v>
      </c>
      <c r="D7" s="219" t="s">
        <v>475</v>
      </c>
      <c r="E7" s="218" t="s">
        <v>20</v>
      </c>
      <c r="F7" s="253" t="s">
        <v>21</v>
      </c>
    </row>
    <row r="8" spans="2:6" ht="9" customHeight="1">
      <c r="B8" s="29"/>
      <c r="C8" s="29"/>
      <c r="E8" s="29"/>
      <c r="F8" s="264"/>
    </row>
    <row r="9" spans="1:6" ht="12.75">
      <c r="A9" s="5" t="s">
        <v>56</v>
      </c>
      <c r="B9" s="155">
        <v>8047160.72</v>
      </c>
      <c r="C9" s="155">
        <v>9876098.98</v>
      </c>
      <c r="D9" s="155">
        <v>10181623.49</v>
      </c>
      <c r="E9" s="156">
        <f aca="true" t="shared" si="0" ref="E9:E35">SUM(B9:D9)</f>
        <v>28104883.189999998</v>
      </c>
      <c r="F9" s="161">
        <f aca="true" t="shared" si="1" ref="F9:F35">(E9/$E$97)*100</f>
        <v>4.412447427195818</v>
      </c>
    </row>
    <row r="10" spans="1:6" ht="12.75">
      <c r="A10" s="5" t="s">
        <v>478</v>
      </c>
      <c r="B10" s="155">
        <v>23158.01</v>
      </c>
      <c r="C10" s="155"/>
      <c r="D10" s="155"/>
      <c r="E10" s="156">
        <f t="shared" si="0"/>
        <v>23158.01</v>
      </c>
      <c r="F10" s="161">
        <f t="shared" si="1"/>
        <v>0.0036357917217685835</v>
      </c>
    </row>
    <row r="11" spans="1:6" ht="12.75">
      <c r="A11" s="5" t="s">
        <v>376</v>
      </c>
      <c r="B11" s="155"/>
      <c r="C11" s="155"/>
      <c r="D11" s="155">
        <v>4924.46</v>
      </c>
      <c r="E11" s="156">
        <f t="shared" si="0"/>
        <v>4924.46</v>
      </c>
      <c r="F11" s="161">
        <f t="shared" si="1"/>
        <v>0.0007731368499357466</v>
      </c>
    </row>
    <row r="12" spans="1:6" ht="12.75">
      <c r="A12" s="5" t="s">
        <v>427</v>
      </c>
      <c r="B12" s="155"/>
      <c r="C12" s="155">
        <v>7806.06</v>
      </c>
      <c r="D12" s="155">
        <v>4715.78</v>
      </c>
      <c r="E12" s="156">
        <f t="shared" si="0"/>
        <v>12521.84</v>
      </c>
      <c r="F12" s="161">
        <f t="shared" si="1"/>
        <v>0.001965920310653235</v>
      </c>
    </row>
    <row r="13" spans="1:6" ht="12.75">
      <c r="A13" s="5" t="s">
        <v>236</v>
      </c>
      <c r="B13" s="155">
        <v>59990.52</v>
      </c>
      <c r="C13" s="155">
        <v>194145.83</v>
      </c>
      <c r="D13" s="155">
        <v>119289.24</v>
      </c>
      <c r="E13" s="156">
        <f t="shared" si="0"/>
        <v>373425.58999999997</v>
      </c>
      <c r="F13" s="161">
        <f t="shared" si="1"/>
        <v>0.058627562075435194</v>
      </c>
    </row>
    <row r="14" spans="1:8" ht="12.75">
      <c r="A14" s="5" t="s">
        <v>304</v>
      </c>
      <c r="B14" s="155"/>
      <c r="C14" s="155">
        <v>5677077.93</v>
      </c>
      <c r="D14" s="155"/>
      <c r="E14" s="156">
        <f t="shared" si="0"/>
        <v>5677077.93</v>
      </c>
      <c r="F14" s="161">
        <f t="shared" si="1"/>
        <v>0.8912973498901298</v>
      </c>
      <c r="H14" s="94"/>
    </row>
    <row r="15" spans="1:8" ht="12.75">
      <c r="A15" s="5" t="s">
        <v>305</v>
      </c>
      <c r="B15" s="155"/>
      <c r="C15" s="155">
        <v>4091119.33</v>
      </c>
      <c r="D15" s="155"/>
      <c r="E15" s="156">
        <f t="shared" si="0"/>
        <v>4091119.33</v>
      </c>
      <c r="F15" s="161">
        <f t="shared" si="1"/>
        <v>0.6423029350441353</v>
      </c>
      <c r="H15" s="94"/>
    </row>
    <row r="16" spans="1:6" ht="12.75">
      <c r="A16" s="5" t="s">
        <v>413</v>
      </c>
      <c r="B16" s="155"/>
      <c r="C16" s="155">
        <v>8742715.05</v>
      </c>
      <c r="D16" s="155"/>
      <c r="E16" s="156">
        <f t="shared" si="0"/>
        <v>8742715.05</v>
      </c>
      <c r="F16" s="161">
        <f t="shared" si="1"/>
        <v>1.372600279755109</v>
      </c>
    </row>
    <row r="17" spans="1:6" ht="12.75">
      <c r="A17" s="5" t="s">
        <v>306</v>
      </c>
      <c r="B17" s="155">
        <v>11249407.42</v>
      </c>
      <c r="C17" s="155">
        <v>11246814.31</v>
      </c>
      <c r="D17" s="155">
        <v>11169595.6</v>
      </c>
      <c r="E17" s="156">
        <f t="shared" si="0"/>
        <v>33665817.33</v>
      </c>
      <c r="F17" s="161">
        <f t="shared" si="1"/>
        <v>5.285510281539187</v>
      </c>
    </row>
    <row r="18" spans="1:6" ht="12.75">
      <c r="A18" s="5" t="s">
        <v>330</v>
      </c>
      <c r="B18" s="155">
        <v>820043.43</v>
      </c>
      <c r="C18" s="155">
        <v>786775.68</v>
      </c>
      <c r="D18" s="155">
        <v>1698622.45</v>
      </c>
      <c r="E18" s="156">
        <f t="shared" si="0"/>
        <v>3305441.56</v>
      </c>
      <c r="F18" s="161">
        <f t="shared" si="1"/>
        <v>0.5189520628343209</v>
      </c>
    </row>
    <row r="19" spans="1:6" ht="12.75">
      <c r="A19" s="5" t="s">
        <v>276</v>
      </c>
      <c r="B19" s="155"/>
      <c r="C19" s="155">
        <v>127077.92</v>
      </c>
      <c r="D19" s="155">
        <v>-54786.6</v>
      </c>
      <c r="E19" s="156">
        <f t="shared" si="0"/>
        <v>72291.32</v>
      </c>
      <c r="F19" s="161">
        <f t="shared" si="1"/>
        <v>0.011349687767287588</v>
      </c>
    </row>
    <row r="20" spans="1:6" ht="12.75">
      <c r="A20" s="5" t="s">
        <v>397</v>
      </c>
      <c r="B20" s="155"/>
      <c r="C20" s="155">
        <v>12520</v>
      </c>
      <c r="D20" s="155"/>
      <c r="E20" s="156">
        <f t="shared" si="0"/>
        <v>12520</v>
      </c>
      <c r="F20" s="161">
        <f t="shared" si="1"/>
        <v>0.0019656314319124427</v>
      </c>
    </row>
    <row r="21" spans="1:6" ht="12.75">
      <c r="A21" s="5" t="s">
        <v>479</v>
      </c>
      <c r="B21" s="155">
        <v>49079</v>
      </c>
      <c r="C21" s="155">
        <v>12066</v>
      </c>
      <c r="D21" s="155"/>
      <c r="E21" s="156">
        <f t="shared" si="0"/>
        <v>61145</v>
      </c>
      <c r="F21" s="161">
        <f t="shared" si="1"/>
        <v>0.009599723155294433</v>
      </c>
    </row>
    <row r="22" spans="1:6" ht="12.75">
      <c r="A22" s="5" t="s">
        <v>170</v>
      </c>
      <c r="B22" s="155">
        <v>2388969.07</v>
      </c>
      <c r="C22" s="155">
        <v>2254099</v>
      </c>
      <c r="D22" s="155">
        <v>4097033.24</v>
      </c>
      <c r="E22" s="156">
        <f t="shared" si="0"/>
        <v>8740101.31</v>
      </c>
      <c r="F22" s="161">
        <f t="shared" si="1"/>
        <v>1.3721899243638271</v>
      </c>
    </row>
    <row r="23" spans="1:6" ht="12.75">
      <c r="A23" s="5" t="s">
        <v>57</v>
      </c>
      <c r="B23" s="155"/>
      <c r="C23" s="155"/>
      <c r="D23" s="155">
        <v>32200</v>
      </c>
      <c r="E23" s="156">
        <f t="shared" si="0"/>
        <v>32200</v>
      </c>
      <c r="F23" s="161">
        <f t="shared" si="1"/>
        <v>0.005055377963864269</v>
      </c>
    </row>
    <row r="24" spans="1:6" ht="12.75">
      <c r="A24" s="5" t="s">
        <v>58</v>
      </c>
      <c r="B24" s="155">
        <v>39000</v>
      </c>
      <c r="C24" s="155">
        <v>116000</v>
      </c>
      <c r="D24" s="155">
        <v>121000</v>
      </c>
      <c r="E24" s="156">
        <f t="shared" si="0"/>
        <v>276000</v>
      </c>
      <c r="F24" s="161">
        <f t="shared" si="1"/>
        <v>0.04333181111883659</v>
      </c>
    </row>
    <row r="25" spans="1:6" ht="12.75">
      <c r="A25" s="5" t="s">
        <v>59</v>
      </c>
      <c r="B25" s="155">
        <v>74125.47</v>
      </c>
      <c r="C25" s="155">
        <v>211954.31</v>
      </c>
      <c r="D25" s="155">
        <v>215258.93</v>
      </c>
      <c r="E25" s="156">
        <f t="shared" si="0"/>
        <v>501338.71</v>
      </c>
      <c r="F25" s="161">
        <f t="shared" si="1"/>
        <v>0.07870983437783041</v>
      </c>
    </row>
    <row r="26" spans="1:8" ht="12.75">
      <c r="A26" s="5" t="s">
        <v>60</v>
      </c>
      <c r="B26" s="155">
        <v>63845</v>
      </c>
      <c r="C26" s="155">
        <v>233932.05</v>
      </c>
      <c r="D26" s="155">
        <v>269098.65</v>
      </c>
      <c r="E26" s="156">
        <f t="shared" si="0"/>
        <v>566875.7</v>
      </c>
      <c r="F26" s="161">
        <f t="shared" si="1"/>
        <v>0.08899909695745752</v>
      </c>
      <c r="H26" s="155"/>
    </row>
    <row r="27" spans="1:6" ht="12.75">
      <c r="A27" s="5" t="s">
        <v>61</v>
      </c>
      <c r="B27" s="155"/>
      <c r="C27" s="155">
        <v>680</v>
      </c>
      <c r="D27" s="155">
        <v>15029.99</v>
      </c>
      <c r="E27" s="156">
        <f t="shared" si="0"/>
        <v>15709.99</v>
      </c>
      <c r="F27" s="161">
        <f t="shared" si="1"/>
        <v>0.002466457678836274</v>
      </c>
    </row>
    <row r="28" spans="1:6" ht="12.75">
      <c r="A28" s="5" t="s">
        <v>62</v>
      </c>
      <c r="B28" s="155">
        <v>1720</v>
      </c>
      <c r="C28" s="155">
        <v>11700</v>
      </c>
      <c r="D28" s="155">
        <v>7500</v>
      </c>
      <c r="E28" s="156">
        <f t="shared" si="0"/>
        <v>20920</v>
      </c>
      <c r="F28" s="161">
        <f t="shared" si="1"/>
        <v>0.003284425683355295</v>
      </c>
    </row>
    <row r="29" spans="1:8" ht="12.75">
      <c r="A29" s="5" t="s">
        <v>344</v>
      </c>
      <c r="B29" s="155">
        <v>706699.74</v>
      </c>
      <c r="C29" s="155">
        <v>706699.74</v>
      </c>
      <c r="D29" s="155">
        <v>706699.74</v>
      </c>
      <c r="E29" s="156">
        <f t="shared" si="0"/>
        <v>2120099.2199999997</v>
      </c>
      <c r="F29" s="161">
        <f t="shared" si="1"/>
        <v>0.3328541266457709</v>
      </c>
      <c r="H29" s="65"/>
    </row>
    <row r="30" spans="1:6" ht="12.75">
      <c r="A30" s="5" t="s">
        <v>63</v>
      </c>
      <c r="B30" s="155"/>
      <c r="C30" s="155">
        <v>53130</v>
      </c>
      <c r="D30" s="155"/>
      <c r="E30" s="156">
        <f t="shared" si="0"/>
        <v>53130</v>
      </c>
      <c r="F30" s="161">
        <f t="shared" si="1"/>
        <v>0.008341373640376043</v>
      </c>
    </row>
    <row r="31" spans="1:6" ht="12.75">
      <c r="A31" s="5" t="s">
        <v>382</v>
      </c>
      <c r="B31" s="155"/>
      <c r="C31" s="155"/>
      <c r="D31" s="155">
        <v>721895.51</v>
      </c>
      <c r="E31" s="156">
        <f t="shared" si="0"/>
        <v>721895.51</v>
      </c>
      <c r="F31" s="161">
        <f t="shared" si="1"/>
        <v>0.11333710103933411</v>
      </c>
    </row>
    <row r="32" spans="1:6" ht="12.75">
      <c r="A32" s="5" t="s">
        <v>64</v>
      </c>
      <c r="B32" s="155">
        <v>106370</v>
      </c>
      <c r="C32" s="155">
        <v>346791.85</v>
      </c>
      <c r="D32" s="155">
        <v>173854.75</v>
      </c>
      <c r="E32" s="156">
        <f t="shared" si="0"/>
        <v>627016.6</v>
      </c>
      <c r="F32" s="161">
        <f t="shared" si="1"/>
        <v>0.09844117709990985</v>
      </c>
    </row>
    <row r="33" spans="1:6" ht="12.75">
      <c r="A33" s="5" t="s">
        <v>480</v>
      </c>
      <c r="B33" s="155">
        <v>37500</v>
      </c>
      <c r="C33" s="155">
        <v>37500</v>
      </c>
      <c r="D33" s="155">
        <v>37500</v>
      </c>
      <c r="E33" s="156">
        <f t="shared" si="0"/>
        <v>112500</v>
      </c>
      <c r="F33" s="161">
        <f t="shared" si="1"/>
        <v>0.01766242301039535</v>
      </c>
    </row>
    <row r="34" spans="1:6" ht="12.75">
      <c r="A34" s="5" t="s">
        <v>140</v>
      </c>
      <c r="B34" s="155">
        <v>21000</v>
      </c>
      <c r="C34" s="155">
        <v>47000</v>
      </c>
      <c r="D34" s="155">
        <v>28000</v>
      </c>
      <c r="E34" s="156">
        <f t="shared" si="0"/>
        <v>96000</v>
      </c>
      <c r="F34" s="161">
        <f t="shared" si="1"/>
        <v>0.015071934302204033</v>
      </c>
    </row>
    <row r="35" spans="1:6" ht="12.75">
      <c r="A35" s="5" t="s">
        <v>316</v>
      </c>
      <c r="B35" s="155"/>
      <c r="C35" s="155">
        <v>15705451.08</v>
      </c>
      <c r="D35" s="155">
        <v>7967889.33</v>
      </c>
      <c r="E35" s="156">
        <f t="shared" si="0"/>
        <v>23673340.41</v>
      </c>
      <c r="F35" s="161">
        <f t="shared" si="1"/>
        <v>3.7166982434711655</v>
      </c>
    </row>
    <row r="36" spans="1:6" ht="6.75" customHeight="1">
      <c r="A36" s="5"/>
      <c r="B36" s="155"/>
      <c r="C36" s="155"/>
      <c r="D36" s="155"/>
      <c r="E36" s="156"/>
      <c r="F36" s="161"/>
    </row>
    <row r="37" spans="1:7" ht="12.75">
      <c r="A37" s="17" t="s">
        <v>213</v>
      </c>
      <c r="B37" s="157">
        <f>SUM(B9:B35)</f>
        <v>23688068.379999995</v>
      </c>
      <c r="C37" s="157">
        <f>SUM(C9:C35)</f>
        <v>60499155.120000005</v>
      </c>
      <c r="D37" s="157">
        <f>SUM(D9:D35)</f>
        <v>37516944.559999995</v>
      </c>
      <c r="E37" s="157">
        <f>SUM(E9:E35)</f>
        <v>121704168.05999997</v>
      </c>
      <c r="F37" s="265">
        <f>SUM(F9:F35)</f>
        <v>19.10747109692415</v>
      </c>
      <c r="G37" s="16"/>
    </row>
    <row r="38" spans="2:8" ht="11.25" customHeight="1">
      <c r="B38" s="94"/>
      <c r="C38" s="94"/>
      <c r="D38" s="94"/>
      <c r="E38" s="294"/>
      <c r="F38" s="294"/>
      <c r="H38" s="205"/>
    </row>
    <row r="39" spans="1:7" ht="12.75" customHeight="1">
      <c r="A39" s="239" t="s">
        <v>254</v>
      </c>
      <c r="B39" s="188"/>
      <c r="C39" s="188"/>
      <c r="D39" s="188"/>
      <c r="E39" s="70"/>
      <c r="F39" s="71"/>
      <c r="G39" s="9" t="s">
        <v>23</v>
      </c>
    </row>
    <row r="40" spans="1:6" ht="5.25" customHeight="1">
      <c r="A40" s="70"/>
      <c r="B40" s="188"/>
      <c r="C40" s="188"/>
      <c r="D40" s="188"/>
      <c r="E40" s="70"/>
      <c r="F40" s="71"/>
    </row>
    <row r="41" spans="1:8" ht="12.75">
      <c r="A41" s="5" t="s">
        <v>207</v>
      </c>
      <c r="B41" s="155">
        <v>190000</v>
      </c>
      <c r="C41" s="155">
        <v>495000</v>
      </c>
      <c r="D41" s="155">
        <v>60000</v>
      </c>
      <c r="E41" s="156">
        <f>SUM(B41:D41)</f>
        <v>745000</v>
      </c>
      <c r="F41" s="266">
        <f>(E41/$E$97)*100</f>
        <v>0.11696449015772921</v>
      </c>
      <c r="H41" s="94"/>
    </row>
    <row r="42" spans="1:6" ht="12.75">
      <c r="A42" s="5" t="s">
        <v>206</v>
      </c>
      <c r="B42" s="155">
        <v>805000</v>
      </c>
      <c r="C42" s="155">
        <v>2181000</v>
      </c>
      <c r="D42" s="155">
        <v>1283000</v>
      </c>
      <c r="E42" s="156">
        <f>SUM(B42:D42)</f>
        <v>4269000</v>
      </c>
      <c r="F42" s="266">
        <f>(E42/$E$97)*100</f>
        <v>0.6702300785011356</v>
      </c>
    </row>
    <row r="43" spans="1:8" ht="12.75">
      <c r="A43" s="5" t="s">
        <v>229</v>
      </c>
      <c r="B43" s="155">
        <v>188000</v>
      </c>
      <c r="C43" s="155">
        <v>521500</v>
      </c>
      <c r="D43" s="155">
        <v>327500</v>
      </c>
      <c r="E43" s="156">
        <f>SUM(B43:D43)</f>
        <v>1037000</v>
      </c>
      <c r="F43" s="266">
        <f>(E43/$E$97)*100</f>
        <v>0.16280829032693314</v>
      </c>
      <c r="H43" s="94"/>
    </row>
    <row r="44" spans="1:6" ht="12.75">
      <c r="A44" s="5" t="s">
        <v>498</v>
      </c>
      <c r="B44" s="155"/>
      <c r="C44" s="155"/>
      <c r="D44" s="155">
        <v>13417.86</v>
      </c>
      <c r="E44" s="156">
        <f>SUM(B44:D44)</f>
        <v>13417.86</v>
      </c>
      <c r="F44" s="266">
        <f>(E44/$E$97)*100</f>
        <v>0.002106594837460119</v>
      </c>
    </row>
    <row r="45" spans="1:6" ht="12.75">
      <c r="A45" s="5" t="s">
        <v>383</v>
      </c>
      <c r="B45" s="155">
        <v>61840</v>
      </c>
      <c r="C45" s="155"/>
      <c r="D45" s="155">
        <v>80000</v>
      </c>
      <c r="E45" s="156">
        <f>SUM(B45:D45)</f>
        <v>141840</v>
      </c>
      <c r="F45" s="266">
        <f>(E45/$E$97)*100</f>
        <v>0.022268782931506456</v>
      </c>
    </row>
    <row r="46" spans="1:6" ht="7.5" customHeight="1">
      <c r="A46" s="155"/>
      <c r="B46" s="155"/>
      <c r="C46" s="155"/>
      <c r="D46" s="155"/>
      <c r="E46" s="156"/>
      <c r="F46" s="266"/>
    </row>
    <row r="47" spans="1:6" ht="12.75">
      <c r="A47" s="239" t="s">
        <v>259</v>
      </c>
      <c r="B47" s="137">
        <f>SUM(B41:B46)</f>
        <v>1244840</v>
      </c>
      <c r="C47" s="137">
        <f>SUM(C41:C46)</f>
        <v>3197500</v>
      </c>
      <c r="D47" s="137">
        <f>SUM(D41:D46)</f>
        <v>1763917.86</v>
      </c>
      <c r="E47" s="137">
        <f>SUM(E41:E46)</f>
        <v>6206257.86</v>
      </c>
      <c r="F47" s="137">
        <f>SUM(F41:F46)</f>
        <v>0.9743782367547645</v>
      </c>
    </row>
    <row r="48" spans="5:6" ht="12.75">
      <c r="E48" s="38"/>
      <c r="F48" s="210"/>
    </row>
    <row r="49" spans="1:6" ht="12.75">
      <c r="A49" s="239" t="s">
        <v>256</v>
      </c>
      <c r="B49" s="29"/>
      <c r="C49" s="29"/>
      <c r="D49" s="29"/>
      <c r="E49" s="30"/>
      <c r="F49" s="267"/>
    </row>
    <row r="50" spans="1:6" ht="7.5" customHeight="1">
      <c r="A50" s="2"/>
      <c r="B50" s="29"/>
      <c r="C50" s="29"/>
      <c r="D50" s="29"/>
      <c r="E50" s="30"/>
      <c r="F50" s="267"/>
    </row>
    <row r="51" spans="1:7" ht="12.75">
      <c r="A51" s="17" t="s">
        <v>208</v>
      </c>
      <c r="B51" s="29"/>
      <c r="C51" s="29"/>
      <c r="D51" s="29"/>
      <c r="E51" s="156"/>
      <c r="F51" s="266"/>
      <c r="G51" s="9" t="s">
        <v>23</v>
      </c>
    </row>
    <row r="52" spans="1:6" ht="12.75">
      <c r="A52" s="5" t="s">
        <v>205</v>
      </c>
      <c r="B52" s="155">
        <v>12852</v>
      </c>
      <c r="C52" s="155">
        <v>2244082.8</v>
      </c>
      <c r="D52" s="155">
        <v>82636.1</v>
      </c>
      <c r="E52" s="156">
        <f>SUM(B52:D52)</f>
        <v>2339570.9</v>
      </c>
      <c r="F52" s="266">
        <f>(E52/$E$97)*100</f>
        <v>0.3673110302098787</v>
      </c>
    </row>
    <row r="53" spans="1:7" ht="12.75">
      <c r="A53" s="17" t="s">
        <v>433</v>
      </c>
      <c r="B53" s="155"/>
      <c r="C53" s="155"/>
      <c r="D53" s="155"/>
      <c r="E53" s="156"/>
      <c r="F53" s="266"/>
      <c r="G53" s="9" t="s">
        <v>23</v>
      </c>
    </row>
    <row r="54" spans="1:6" ht="12.75">
      <c r="A54" s="5" t="s">
        <v>85</v>
      </c>
      <c r="B54" s="155"/>
      <c r="C54" s="155"/>
      <c r="D54" s="155">
        <v>350000</v>
      </c>
      <c r="E54" s="156">
        <f>SUM(B54:D54)</f>
        <v>350000</v>
      </c>
      <c r="F54" s="266">
        <f>(E54/$E$97)*100</f>
        <v>0.05494976047678554</v>
      </c>
    </row>
    <row r="55" spans="1:7" ht="12.75">
      <c r="A55" s="17" t="s">
        <v>343</v>
      </c>
      <c r="B55" s="155"/>
      <c r="C55" s="155"/>
      <c r="D55" s="155"/>
      <c r="E55" s="156"/>
      <c r="F55" s="266"/>
      <c r="G55" s="9" t="s">
        <v>23</v>
      </c>
    </row>
    <row r="56" spans="1:6" ht="12.75">
      <c r="A56" s="5" t="s">
        <v>497</v>
      </c>
      <c r="B56" s="155"/>
      <c r="C56" s="155"/>
      <c r="D56" s="155">
        <v>84534.58</v>
      </c>
      <c r="E56" s="156">
        <f>SUM(B56:D56)</f>
        <v>84534.58</v>
      </c>
      <c r="F56" s="266">
        <f>(E56/$E$97)*100</f>
        <v>0.013271871208587614</v>
      </c>
    </row>
    <row r="57" spans="1:6" ht="12.75">
      <c r="A57" s="5" t="s">
        <v>342</v>
      </c>
      <c r="B57" s="155">
        <v>363300</v>
      </c>
      <c r="C57" s="155">
        <v>356000</v>
      </c>
      <c r="D57" s="155">
        <v>463500</v>
      </c>
      <c r="E57" s="156">
        <f>SUM(B57:D57)</f>
        <v>1182800</v>
      </c>
      <c r="F57" s="266">
        <f>(E57/$E$97)*100</f>
        <v>0.18569879054840552</v>
      </c>
    </row>
    <row r="58" spans="1:6" ht="6.75" customHeight="1">
      <c r="A58" s="5"/>
      <c r="B58" s="193"/>
      <c r="C58" s="193"/>
      <c r="D58" s="193"/>
      <c r="E58" s="244"/>
      <c r="F58" s="268"/>
    </row>
    <row r="59" spans="1:6" ht="12.75">
      <c r="A59" s="239" t="s">
        <v>394</v>
      </c>
      <c r="B59" s="144">
        <f>SUM(B51:B58)</f>
        <v>376152</v>
      </c>
      <c r="C59" s="144">
        <f>SUM(C51:C58)</f>
        <v>2600082.8</v>
      </c>
      <c r="D59" s="144">
        <f>SUM(D51:D58)</f>
        <v>980670.6799999999</v>
      </c>
      <c r="E59" s="144">
        <f>SUM(E51:E58)</f>
        <v>3956905.48</v>
      </c>
      <c r="F59" s="144">
        <f>SUM(F51:F58)</f>
        <v>0.6212314524436574</v>
      </c>
    </row>
    <row r="60" spans="1:6" ht="6" customHeight="1">
      <c r="A60" s="34"/>
      <c r="B60" s="158"/>
      <c r="C60" s="158"/>
      <c r="D60" s="158"/>
      <c r="E60" s="158"/>
      <c r="F60" s="269"/>
    </row>
    <row r="61" spans="1:6" ht="12.75">
      <c r="A61" s="61" t="s">
        <v>417</v>
      </c>
      <c r="B61" s="157">
        <f>B47+B59</f>
        <v>1620992</v>
      </c>
      <c r="C61" s="157">
        <f>C47+C59</f>
        <v>5797582.8</v>
      </c>
      <c r="D61" s="157">
        <f>D47+D59</f>
        <v>2744588.54</v>
      </c>
      <c r="E61" s="157">
        <f>E47+E59</f>
        <v>10163163.34</v>
      </c>
      <c r="F61" s="265">
        <f>F47+F59</f>
        <v>1.595609689198422</v>
      </c>
    </row>
    <row r="62" spans="2:6" ht="12.75">
      <c r="B62" s="29"/>
      <c r="C62" s="29"/>
      <c r="D62" s="29"/>
      <c r="E62" s="30"/>
      <c r="F62" s="267"/>
    </row>
    <row r="63" spans="1:6" ht="12.75">
      <c r="A63" s="239" t="s">
        <v>255</v>
      </c>
      <c r="B63" s="29"/>
      <c r="C63" s="29"/>
      <c r="D63" s="29"/>
      <c r="E63" s="30"/>
      <c r="F63" s="267"/>
    </row>
    <row r="64" spans="1:6" ht="7.5" customHeight="1">
      <c r="A64" s="70"/>
      <c r="B64" s="188"/>
      <c r="C64" s="188"/>
      <c r="D64" s="188"/>
      <c r="E64" s="70"/>
      <c r="F64" s="71"/>
    </row>
    <row r="65" spans="1:7" ht="12.75">
      <c r="A65" s="17" t="s">
        <v>416</v>
      </c>
      <c r="B65" s="29"/>
      <c r="C65" s="29"/>
      <c r="D65" s="29"/>
      <c r="E65" s="30"/>
      <c r="G65" s="9" t="s">
        <v>23</v>
      </c>
    </row>
    <row r="66" spans="1:6" ht="12.75">
      <c r="A66" s="5" t="s">
        <v>232</v>
      </c>
      <c r="B66" s="155">
        <v>1187550.18</v>
      </c>
      <c r="C66" s="155">
        <v>4895126.56</v>
      </c>
      <c r="D66" s="155">
        <v>2899142.06</v>
      </c>
      <c r="E66" s="156">
        <f>SUM(B66:D66)</f>
        <v>8981818.799999999</v>
      </c>
      <c r="F66" s="266">
        <f>(E66/$E$97)*100</f>
        <v>1.4101394048739693</v>
      </c>
    </row>
    <row r="67" spans="1:6" ht="6.75" customHeight="1">
      <c r="A67" s="5"/>
      <c r="B67" s="155"/>
      <c r="C67" s="155"/>
      <c r="D67" s="155"/>
      <c r="E67" s="156"/>
      <c r="F67" s="266"/>
    </row>
    <row r="68" spans="1:7" ht="12.75">
      <c r="A68" s="17" t="s">
        <v>233</v>
      </c>
      <c r="B68" s="155"/>
      <c r="C68" s="155"/>
      <c r="D68" s="155"/>
      <c r="E68" s="156"/>
      <c r="F68" s="266"/>
      <c r="G68" s="9" t="s">
        <v>23</v>
      </c>
    </row>
    <row r="69" spans="1:7" ht="12.75">
      <c r="A69" s="5" t="s">
        <v>237</v>
      </c>
      <c r="B69" s="155">
        <v>74131</v>
      </c>
      <c r="C69" s="155">
        <v>46725</v>
      </c>
      <c r="D69" s="155">
        <v>55781</v>
      </c>
      <c r="E69" s="156">
        <f>SUM(B69:D69)</f>
        <v>176637</v>
      </c>
      <c r="F69" s="266">
        <f>(E69/$E$97)*100</f>
        <v>0.027731888118108478</v>
      </c>
      <c r="G69" s="9"/>
    </row>
    <row r="70" spans="1:6" ht="12.75">
      <c r="A70" s="5" t="s">
        <v>238</v>
      </c>
      <c r="B70" s="155">
        <v>19129</v>
      </c>
      <c r="C70" s="155">
        <v>41145</v>
      </c>
      <c r="D70" s="155">
        <v>126937</v>
      </c>
      <c r="E70" s="156">
        <f>SUM(B70:D70)</f>
        <v>187211</v>
      </c>
      <c r="F70" s="266">
        <f>(E70/$E$97)*100</f>
        <v>0.02939199888176999</v>
      </c>
    </row>
    <row r="71" spans="1:6" ht="12.75">
      <c r="A71" s="5" t="s">
        <v>239</v>
      </c>
      <c r="B71" s="155">
        <v>11146</v>
      </c>
      <c r="C71" s="155">
        <v>25285</v>
      </c>
      <c r="D71" s="155">
        <v>76923</v>
      </c>
      <c r="E71" s="156">
        <f>SUM(B71:D71)</f>
        <v>113354</v>
      </c>
      <c r="F71" s="266">
        <f>(E71/$E$97)*100</f>
        <v>0.01779650042595871</v>
      </c>
    </row>
    <row r="72" spans="1:6" ht="7.5" customHeight="1">
      <c r="A72" s="5"/>
      <c r="B72" s="155"/>
      <c r="C72" s="155"/>
      <c r="D72" s="155"/>
      <c r="E72" s="156"/>
      <c r="F72" s="266"/>
    </row>
    <row r="73" spans="1:8" ht="12.75">
      <c r="A73" s="17" t="s">
        <v>204</v>
      </c>
      <c r="B73" s="63"/>
      <c r="C73" s="155"/>
      <c r="D73" s="155"/>
      <c r="E73" s="156"/>
      <c r="F73" s="266"/>
      <c r="G73" s="9" t="s">
        <v>23</v>
      </c>
      <c r="H73" s="65"/>
    </row>
    <row r="74" spans="1:8" ht="12.75">
      <c r="A74" s="5" t="s">
        <v>434</v>
      </c>
      <c r="B74" s="155">
        <v>91436</v>
      </c>
      <c r="C74" s="155">
        <v>4363435.61</v>
      </c>
      <c r="D74" s="155">
        <v>6563755.48</v>
      </c>
      <c r="E74" s="156">
        <f aca="true" t="shared" si="2" ref="E74:E79">SUM(B74:D74)</f>
        <v>11018627.09</v>
      </c>
      <c r="F74" s="266">
        <f aca="true" t="shared" si="3" ref="F74:F79">(E74/$E$97)*100</f>
        <v>1.7299169125100582</v>
      </c>
      <c r="H74" s="65"/>
    </row>
    <row r="75" spans="1:7" ht="12.75">
      <c r="A75" s="5" t="s">
        <v>435</v>
      </c>
      <c r="B75" s="155">
        <v>5651344.23</v>
      </c>
      <c r="C75" s="155">
        <v>1518179.98</v>
      </c>
      <c r="D75" s="155">
        <v>1552537.02</v>
      </c>
      <c r="E75" s="156">
        <f t="shared" si="2"/>
        <v>8722061.23</v>
      </c>
      <c r="F75" s="266">
        <f t="shared" si="3"/>
        <v>1.3693576441495927</v>
      </c>
      <c r="G75" s="9"/>
    </row>
    <row r="76" spans="1:7" ht="12.75">
      <c r="A76" s="5" t="s">
        <v>65</v>
      </c>
      <c r="B76" s="155"/>
      <c r="C76" s="155">
        <v>2361667.26</v>
      </c>
      <c r="D76" s="155">
        <v>2557305.86</v>
      </c>
      <c r="E76" s="156">
        <f t="shared" si="2"/>
        <v>4918973.119999999</v>
      </c>
      <c r="F76" s="266">
        <f t="shared" si="3"/>
        <v>0.772275413530704</v>
      </c>
      <c r="G76" s="9"/>
    </row>
    <row r="77" spans="1:8" ht="12.75">
      <c r="A77" s="5" t="s">
        <v>230</v>
      </c>
      <c r="B77" s="155">
        <v>47964.7</v>
      </c>
      <c r="C77" s="155">
        <v>10000</v>
      </c>
      <c r="D77" s="155">
        <v>50000</v>
      </c>
      <c r="E77" s="156">
        <f t="shared" si="2"/>
        <v>107964.7</v>
      </c>
      <c r="F77" s="266">
        <f t="shared" si="3"/>
        <v>0.016950384014137163</v>
      </c>
      <c r="G77" s="9"/>
      <c r="H77" s="205"/>
    </row>
    <row r="78" spans="1:7" ht="12.75">
      <c r="A78" s="5" t="s">
        <v>231</v>
      </c>
      <c r="B78" s="155">
        <v>604810.84</v>
      </c>
      <c r="C78" s="155">
        <v>604740.23</v>
      </c>
      <c r="D78" s="155">
        <v>604499.84</v>
      </c>
      <c r="E78" s="156">
        <f t="shared" si="2"/>
        <v>1814050.9099999997</v>
      </c>
      <c r="F78" s="266">
        <f t="shared" si="3"/>
        <v>0.2848047514205566</v>
      </c>
      <c r="G78" s="9"/>
    </row>
    <row r="79" spans="1:7" ht="12.75">
      <c r="A79" s="5" t="s">
        <v>317</v>
      </c>
      <c r="B79" s="155"/>
      <c r="C79" s="155">
        <v>15705451.08</v>
      </c>
      <c r="D79" s="155">
        <v>7967889.33</v>
      </c>
      <c r="E79" s="156">
        <f t="shared" si="2"/>
        <v>23673340.41</v>
      </c>
      <c r="F79" s="266">
        <f t="shared" si="3"/>
        <v>3.7166982434711655</v>
      </c>
      <c r="G79" s="9"/>
    </row>
    <row r="80" spans="1:7" ht="12.75">
      <c r="A80" s="5" t="s">
        <v>489</v>
      </c>
      <c r="B80" s="155"/>
      <c r="C80" s="155">
        <v>-53175</v>
      </c>
      <c r="D80" s="155"/>
      <c r="E80" s="156">
        <f>SUM(B80:D80)</f>
        <v>-53175</v>
      </c>
      <c r="F80" s="266">
        <f>(E80/$E$97)*100</f>
        <v>-0.008348438609580202</v>
      </c>
      <c r="G80" s="9"/>
    </row>
    <row r="81" spans="1:7" ht="7.5" customHeight="1">
      <c r="A81" s="5"/>
      <c r="B81" s="155"/>
      <c r="C81" s="155"/>
      <c r="D81" s="155"/>
      <c r="E81" s="156"/>
      <c r="F81" s="266"/>
      <c r="G81" s="9"/>
    </row>
    <row r="82" spans="1:7" ht="12.75">
      <c r="A82" s="17" t="s">
        <v>444</v>
      </c>
      <c r="B82" s="155"/>
      <c r="C82" s="155"/>
      <c r="D82" s="155"/>
      <c r="E82" s="156"/>
      <c r="F82" s="266"/>
      <c r="G82" s="9" t="s">
        <v>23</v>
      </c>
    </row>
    <row r="83" spans="1:8" ht="12.75">
      <c r="A83" s="5" t="s">
        <v>503</v>
      </c>
      <c r="B83" s="155"/>
      <c r="C83" s="155"/>
      <c r="D83" s="155">
        <v>-883.5</v>
      </c>
      <c r="E83" s="156">
        <f>SUM(B83:D83)</f>
        <v>-883.5</v>
      </c>
      <c r="F83" s="266">
        <f>(E83/$E$97)*100</f>
        <v>-0.00013870889537497149</v>
      </c>
      <c r="G83" s="9"/>
      <c r="H83" s="94"/>
    </row>
    <row r="84" spans="1:7" ht="12.75">
      <c r="A84" s="5" t="s">
        <v>505</v>
      </c>
      <c r="B84" s="155"/>
      <c r="C84" s="155"/>
      <c r="D84" s="155">
        <v>-8689.5</v>
      </c>
      <c r="E84" s="156">
        <f>SUM(B84:D84)</f>
        <v>-8689.5</v>
      </c>
      <c r="F84" s="266">
        <f>(E84/$E$97)*100</f>
        <v>-0.0013642455533229368</v>
      </c>
      <c r="G84" s="9"/>
    </row>
    <row r="85" spans="1:7" ht="12.75">
      <c r="A85" s="5" t="s">
        <v>504</v>
      </c>
      <c r="B85" s="155"/>
      <c r="C85" s="155"/>
      <c r="D85" s="155">
        <v>-9030</v>
      </c>
      <c r="E85" s="156">
        <f>SUM(B85:D85)</f>
        <v>-9030</v>
      </c>
      <c r="F85" s="266">
        <f>(E85/$E$97)*100</f>
        <v>-0.0014177038203010666</v>
      </c>
      <c r="G85" s="9"/>
    </row>
    <row r="86" spans="1:6" ht="5.25" customHeight="1">
      <c r="A86" s="155"/>
      <c r="B86" s="155"/>
      <c r="C86" s="155"/>
      <c r="D86" s="155"/>
      <c r="E86" s="156"/>
      <c r="F86" s="266"/>
    </row>
    <row r="87" spans="1:6" ht="12.75">
      <c r="A87" s="239" t="s">
        <v>257</v>
      </c>
      <c r="B87" s="137">
        <f>SUM(B66:B86)</f>
        <v>7687511.95</v>
      </c>
      <c r="C87" s="137">
        <f>SUM(C66:C86)</f>
        <v>29518580.72</v>
      </c>
      <c r="D87" s="137">
        <f>SUM(D66:D86)</f>
        <v>22436167.59</v>
      </c>
      <c r="E87" s="137">
        <f>SUM(E66:E86)</f>
        <v>59642260.260000005</v>
      </c>
      <c r="F87" s="137">
        <f>SUM(F66:F86)</f>
        <v>9.36379404451744</v>
      </c>
    </row>
    <row r="88" spans="2:6" ht="12.75">
      <c r="B88" s="94"/>
      <c r="C88" s="94"/>
      <c r="D88" s="94"/>
      <c r="E88" s="94"/>
      <c r="F88" s="170"/>
    </row>
    <row r="89" spans="1:7" ht="12.75">
      <c r="A89" s="239" t="s">
        <v>395</v>
      </c>
      <c r="B89" s="155"/>
      <c r="C89" s="155"/>
      <c r="D89" s="155"/>
      <c r="E89" s="156"/>
      <c r="F89" s="266"/>
      <c r="G89" s="9" t="s">
        <v>23</v>
      </c>
    </row>
    <row r="90" spans="1:6" ht="9" customHeight="1">
      <c r="A90" s="70"/>
      <c r="B90" s="188"/>
      <c r="C90" s="188"/>
      <c r="D90" s="188"/>
      <c r="E90" s="70"/>
      <c r="F90" s="71"/>
    </row>
    <row r="91" spans="1:7" ht="12.75">
      <c r="A91" s="5" t="s">
        <v>531</v>
      </c>
      <c r="B91" s="155">
        <v>141961282.55</v>
      </c>
      <c r="C91" s="155">
        <v>141882117.09</v>
      </c>
      <c r="D91" s="155">
        <f>149478947.23-880760.61+97714.35</f>
        <v>148695900.96999997</v>
      </c>
      <c r="E91" s="156">
        <f>SUM(B91:D91)</f>
        <v>432539300.60999995</v>
      </c>
      <c r="F91" s="266">
        <f>(E91/$E$97)*100</f>
        <v>67.90837418661665</v>
      </c>
      <c r="G91" s="9"/>
    </row>
    <row r="92" spans="1:7" ht="12.75">
      <c r="A92" s="5" t="s">
        <v>532</v>
      </c>
      <c r="B92" s="155"/>
      <c r="C92" s="155">
        <v>63921.35</v>
      </c>
      <c r="D92" s="155">
        <v>153011.11</v>
      </c>
      <c r="E92" s="156">
        <f>SUM(B92:D92)</f>
        <v>216932.46</v>
      </c>
      <c r="F92" s="266">
        <f>(E92/$E$97)*100</f>
        <v>0.03405824776182816</v>
      </c>
      <c r="G92" s="9"/>
    </row>
    <row r="93" spans="1:6" ht="12.75">
      <c r="A93" s="5" t="s">
        <v>533</v>
      </c>
      <c r="B93" s="155">
        <v>6346620.71</v>
      </c>
      <c r="C93" s="155"/>
      <c r="D93" s="155">
        <v>6333006.12</v>
      </c>
      <c r="E93" s="156">
        <f>SUM(B93:D93)</f>
        <v>12679626.83</v>
      </c>
      <c r="F93" s="266">
        <f>(E93/$E$97)*100</f>
        <v>1.9906927349814956</v>
      </c>
    </row>
    <row r="94" spans="2:7" ht="6.75" customHeight="1">
      <c r="B94" s="155"/>
      <c r="C94" s="155"/>
      <c r="D94" s="155"/>
      <c r="E94" s="156"/>
      <c r="F94" s="266"/>
      <c r="G94" s="9"/>
    </row>
    <row r="95" spans="1:7" ht="12.75">
      <c r="A95" s="239" t="s">
        <v>258</v>
      </c>
      <c r="B95" s="157">
        <f>SUM(B91:B94)</f>
        <v>148307903.26000002</v>
      </c>
      <c r="C95" s="157">
        <f>SUM(C91:C94)</f>
        <v>141946038.44</v>
      </c>
      <c r="D95" s="157">
        <f>SUM(D91:D94)</f>
        <v>155181918.2</v>
      </c>
      <c r="E95" s="157">
        <f>SUM(E91:E94)</f>
        <v>445435859.8999999</v>
      </c>
      <c r="F95" s="265">
        <f>SUM(F91:F94)</f>
        <v>69.93312516935998</v>
      </c>
      <c r="G95" s="9"/>
    </row>
    <row r="96" spans="1:6" ht="7.5" customHeight="1">
      <c r="A96" s="5"/>
      <c r="B96" s="156"/>
      <c r="C96" s="156"/>
      <c r="D96" s="156"/>
      <c r="E96" s="156"/>
      <c r="F96" s="161"/>
    </row>
    <row r="97" spans="1:6" ht="13.5" thickBot="1">
      <c r="A97" s="239" t="s">
        <v>214</v>
      </c>
      <c r="B97" s="245">
        <f>SUM(B37+B61+B87+B95)</f>
        <v>181304475.59</v>
      </c>
      <c r="C97" s="245">
        <f>SUM(C37+C61+C87+C95)</f>
        <v>237761357.07999998</v>
      </c>
      <c r="D97" s="245">
        <f>SUM(D37+D61+D87+D95)</f>
        <v>217879618.89</v>
      </c>
      <c r="E97" s="245">
        <f>SUM(E37+E61+E87+E95)</f>
        <v>636945451.56</v>
      </c>
      <c r="F97" s="246">
        <f>SUM(F37+F61+F87+F95)</f>
        <v>100</v>
      </c>
    </row>
    <row r="98" spans="1:6" ht="13.5" thickTop="1">
      <c r="A98" s="16"/>
      <c r="B98" s="28"/>
      <c r="C98" s="28"/>
      <c r="D98" s="28"/>
      <c r="E98" s="28"/>
      <c r="F98" s="252"/>
    </row>
    <row r="99" spans="1:4" ht="12.75">
      <c r="A99" s="79" t="s">
        <v>55</v>
      </c>
      <c r="D99" s="37"/>
    </row>
    <row r="100" spans="1:4" ht="3.75" customHeight="1">
      <c r="A100" s="8"/>
      <c r="D100" s="37"/>
    </row>
    <row r="101" spans="1:4" ht="12.75">
      <c r="A101" s="12" t="s">
        <v>445</v>
      </c>
      <c r="D101" s="155"/>
    </row>
    <row r="102" ht="12.75">
      <c r="D102" s="155"/>
    </row>
    <row r="103" ht="12.75">
      <c r="D103" s="155"/>
    </row>
    <row r="104" ht="12.75">
      <c r="D104" s="155"/>
    </row>
    <row r="113" ht="12.75">
      <c r="A113" s="12"/>
    </row>
  </sheetData>
  <sheetProtection/>
  <mergeCells count="6">
    <mergeCell ref="E38:F38"/>
    <mergeCell ref="A5:F5"/>
    <mergeCell ref="E1:F1"/>
    <mergeCell ref="A2:F2"/>
    <mergeCell ref="A3:F3"/>
    <mergeCell ref="A4:F4"/>
  </mergeCells>
  <printOptions/>
  <pageMargins left="0.8661417322834646" right="0.5905511811023623" top="0.7874015748031497" bottom="0.8661417322834646" header="0" footer="0.3937007874015748"/>
  <pageSetup fitToHeight="2" horizontalDpi="600" verticalDpi="600" orientation="portrait" scale="90" r:id="rId1"/>
  <headerFooter alignWithMargins="0">
    <oddFooter>&amp;R&amp;P de &amp;N</oddFooter>
  </headerFooter>
  <rowBreaks count="1" manualBreakCount="1">
    <brk id="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Autonoma de Sin.</dc:creator>
  <cp:keywords/>
  <dc:description/>
  <cp:lastModifiedBy>CAMPOS Y ASOCIADOS</cp:lastModifiedBy>
  <cp:lastPrinted>2011-01-14T18:45:53Z</cp:lastPrinted>
  <dcterms:created xsi:type="dcterms:W3CDTF">2003-01-28T22:37:29Z</dcterms:created>
  <dcterms:modified xsi:type="dcterms:W3CDTF">2011-01-14T19:55:59Z</dcterms:modified>
  <cp:category/>
  <cp:version/>
  <cp:contentType/>
  <cp:contentStatus/>
</cp:coreProperties>
</file>